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herasymov\Desktop\проекти\нова продуктова лінійка\Flex\на сайт\калькулятор\"/>
    </mc:Choice>
  </mc:AlternateContent>
  <xr:revisionPtr revIDLastSave="0" documentId="13_ncr:1_{EA5336E6-61CE-4525-A7CE-6FA28634DF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егмент 1 (безгтоівково)" sheetId="10" r:id="rId1"/>
    <sheet name="Сегмент 1 (зняття готівкою) " sheetId="11" r:id="rId2"/>
    <sheet name="Сегмент 2 (безгтоівково)" sheetId="9" r:id="rId3"/>
    <sheet name="Сегмент 2 (зняття готівкою)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0" l="1"/>
  <c r="D17" i="10" s="1"/>
  <c r="J18" i="10" s="1"/>
  <c r="B1" i="11"/>
  <c r="B1" i="9"/>
  <c r="B1" i="12"/>
  <c r="I29" i="12"/>
  <c r="G29" i="12"/>
  <c r="I28" i="12"/>
  <c r="G28" i="12"/>
  <c r="I27" i="12"/>
  <c r="G27" i="12"/>
  <c r="I26" i="12"/>
  <c r="G26" i="12"/>
  <c r="I25" i="12"/>
  <c r="G25" i="12"/>
  <c r="I24" i="12"/>
  <c r="G24" i="12"/>
  <c r="I23" i="12"/>
  <c r="G23" i="12"/>
  <c r="I22" i="12"/>
  <c r="G22" i="12"/>
  <c r="I21" i="12"/>
  <c r="G21" i="12"/>
  <c r="I20" i="12"/>
  <c r="G20" i="12"/>
  <c r="I19" i="12"/>
  <c r="K18" i="12"/>
  <c r="I18" i="12"/>
  <c r="I17" i="12"/>
  <c r="D17" i="12"/>
  <c r="B14" i="12"/>
  <c r="B13" i="12"/>
  <c r="F18" i="12" s="1"/>
  <c r="B12" i="12"/>
  <c r="B11" i="12"/>
  <c r="G18" i="12" s="1"/>
  <c r="I29" i="9"/>
  <c r="G29" i="9"/>
  <c r="I28" i="9"/>
  <c r="G28" i="9"/>
  <c r="I27" i="9"/>
  <c r="G27" i="9"/>
  <c r="I26" i="9"/>
  <c r="G26" i="9"/>
  <c r="I25" i="9"/>
  <c r="G25" i="9"/>
  <c r="I24" i="9"/>
  <c r="G24" i="9"/>
  <c r="I23" i="9"/>
  <c r="G23" i="9"/>
  <c r="I22" i="9"/>
  <c r="G22" i="9"/>
  <c r="I21" i="9"/>
  <c r="G21" i="9"/>
  <c r="I20" i="9"/>
  <c r="G20" i="9"/>
  <c r="I19" i="9"/>
  <c r="K18" i="9"/>
  <c r="I18" i="9"/>
  <c r="I17" i="9"/>
  <c r="D17" i="9"/>
  <c r="J18" i="9" s="1"/>
  <c r="B14" i="9"/>
  <c r="B13" i="9" s="1"/>
  <c r="I29" i="11"/>
  <c r="G29" i="11"/>
  <c r="I28" i="11"/>
  <c r="G28" i="11"/>
  <c r="I27" i="11"/>
  <c r="G27" i="11"/>
  <c r="I26" i="11"/>
  <c r="G26" i="11"/>
  <c r="I25" i="11"/>
  <c r="G25" i="11"/>
  <c r="I24" i="11"/>
  <c r="G24" i="11"/>
  <c r="I23" i="11"/>
  <c r="G23" i="11"/>
  <c r="I22" i="11"/>
  <c r="G22" i="11"/>
  <c r="I21" i="11"/>
  <c r="G21" i="11"/>
  <c r="I20" i="11"/>
  <c r="G20" i="11"/>
  <c r="I19" i="11"/>
  <c r="K18" i="11"/>
  <c r="I18" i="11"/>
  <c r="I17" i="11"/>
  <c r="D17" i="11"/>
  <c r="J18" i="11" s="1"/>
  <c r="B14" i="11"/>
  <c r="B13" i="11" s="1"/>
  <c r="I29" i="10"/>
  <c r="G29" i="10"/>
  <c r="I28" i="10"/>
  <c r="G28" i="10"/>
  <c r="I27" i="10"/>
  <c r="G27" i="10"/>
  <c r="I26" i="10"/>
  <c r="G26" i="10"/>
  <c r="I25" i="10"/>
  <c r="G25" i="10"/>
  <c r="I24" i="10"/>
  <c r="G24" i="10"/>
  <c r="I23" i="10"/>
  <c r="G23" i="10"/>
  <c r="I22" i="10"/>
  <c r="G22" i="10"/>
  <c r="I21" i="10"/>
  <c r="G21" i="10"/>
  <c r="I20" i="10"/>
  <c r="G20" i="10"/>
  <c r="I19" i="10"/>
  <c r="I18" i="10"/>
  <c r="B14" i="10"/>
  <c r="B13" i="10" s="1"/>
  <c r="B12" i="10"/>
  <c r="B11" i="10"/>
  <c r="K18" i="10" l="1"/>
  <c r="I17" i="10"/>
  <c r="F18" i="10"/>
  <c r="E18" i="10" s="1"/>
  <c r="H18" i="10" s="1"/>
  <c r="J19" i="10" s="1"/>
  <c r="G18" i="10"/>
  <c r="I30" i="12"/>
  <c r="E18" i="12"/>
  <c r="H18" i="12" s="1"/>
  <c r="K19" i="12" s="1"/>
  <c r="I30" i="9"/>
  <c r="I30" i="11"/>
  <c r="I30" i="10"/>
  <c r="D18" i="10"/>
  <c r="J18" i="12"/>
  <c r="F18" i="9"/>
  <c r="B11" i="9"/>
  <c r="B12" i="9"/>
  <c r="F18" i="11"/>
  <c r="B11" i="11"/>
  <c r="B12" i="11"/>
  <c r="F19" i="12" l="1"/>
  <c r="G19" i="12"/>
  <c r="J19" i="12"/>
  <c r="K19" i="10"/>
  <c r="G19" i="10"/>
  <c r="F19" i="10"/>
  <c r="D18" i="12"/>
  <c r="E19" i="12"/>
  <c r="E18" i="9"/>
  <c r="G18" i="9"/>
  <c r="E18" i="11"/>
  <c r="G18" i="11"/>
  <c r="E19" i="10" l="1"/>
  <c r="D19" i="12"/>
  <c r="H19" i="12"/>
  <c r="H18" i="9"/>
  <c r="D18" i="9"/>
  <c r="H18" i="11"/>
  <c r="D18" i="11"/>
  <c r="D19" i="10"/>
  <c r="H19" i="10"/>
  <c r="J20" i="12" l="1"/>
  <c r="K20" i="12"/>
  <c r="F20" i="12"/>
  <c r="J19" i="9"/>
  <c r="K19" i="9"/>
  <c r="F19" i="9"/>
  <c r="G19" i="9"/>
  <c r="K19" i="11"/>
  <c r="J19" i="11"/>
  <c r="F19" i="11"/>
  <c r="G19" i="11"/>
  <c r="K20" i="10"/>
  <c r="J20" i="10"/>
  <c r="F20" i="10"/>
  <c r="E20" i="12" l="1"/>
  <c r="E19" i="9"/>
  <c r="E19" i="11"/>
  <c r="E20" i="10"/>
  <c r="D20" i="12" l="1"/>
  <c r="H20" i="12"/>
  <c r="D19" i="9"/>
  <c r="H19" i="9"/>
  <c r="D19" i="11"/>
  <c r="H19" i="11"/>
  <c r="D20" i="10"/>
  <c r="H20" i="10"/>
  <c r="K21" i="12" l="1"/>
  <c r="J21" i="12"/>
  <c r="F21" i="12"/>
  <c r="E21" i="12" s="1"/>
  <c r="K20" i="9"/>
  <c r="J20" i="9"/>
  <c r="F20" i="9"/>
  <c r="K20" i="11"/>
  <c r="J20" i="11"/>
  <c r="F20" i="11"/>
  <c r="K21" i="10"/>
  <c r="J21" i="10"/>
  <c r="F21" i="10"/>
  <c r="E21" i="10" l="1"/>
  <c r="D21" i="12"/>
  <c r="H21" i="12"/>
  <c r="E20" i="9"/>
  <c r="E20" i="11"/>
  <c r="D21" i="10"/>
  <c r="H21" i="10"/>
  <c r="K22" i="12" l="1"/>
  <c r="J22" i="12"/>
  <c r="F22" i="12"/>
  <c r="E22" i="12" s="1"/>
  <c r="D20" i="9"/>
  <c r="H20" i="9"/>
  <c r="D20" i="11"/>
  <c r="H20" i="11"/>
  <c r="J22" i="10"/>
  <c r="K22" i="10"/>
  <c r="F22" i="10"/>
  <c r="E22" i="10" s="1"/>
  <c r="D22" i="12" l="1"/>
  <c r="H22" i="12"/>
  <c r="K21" i="9"/>
  <c r="J21" i="9"/>
  <c r="F21" i="9"/>
  <c r="E21" i="9" s="1"/>
  <c r="K21" i="11"/>
  <c r="J21" i="11"/>
  <c r="F21" i="11"/>
  <c r="E21" i="11" s="1"/>
  <c r="D22" i="10"/>
  <c r="H22" i="10"/>
  <c r="F23" i="12" l="1"/>
  <c r="K23" i="12"/>
  <c r="J23" i="12"/>
  <c r="D21" i="9"/>
  <c r="H21" i="9"/>
  <c r="D21" i="11"/>
  <c r="H21" i="11"/>
  <c r="F23" i="10"/>
  <c r="J23" i="10"/>
  <c r="K23" i="10"/>
  <c r="E23" i="12" l="1"/>
  <c r="E23" i="10"/>
  <c r="D23" i="10" s="1"/>
  <c r="D23" i="12"/>
  <c r="H23" i="12"/>
  <c r="K22" i="9"/>
  <c r="J22" i="9"/>
  <c r="F22" i="9"/>
  <c r="K22" i="11"/>
  <c r="J22" i="11"/>
  <c r="F22" i="11"/>
  <c r="E22" i="11" s="1"/>
  <c r="H23" i="10" l="1"/>
  <c r="J24" i="10" s="1"/>
  <c r="E22" i="9"/>
  <c r="D22" i="9" s="1"/>
  <c r="K24" i="12"/>
  <c r="J24" i="12"/>
  <c r="F24" i="12"/>
  <c r="E24" i="12" s="1"/>
  <c r="D24" i="12" s="1"/>
  <c r="H22" i="9"/>
  <c r="D22" i="11"/>
  <c r="H22" i="11"/>
  <c r="F24" i="10" l="1"/>
  <c r="K24" i="10"/>
  <c r="E24" i="10" s="1"/>
  <c r="D24" i="10" s="1"/>
  <c r="H24" i="12"/>
  <c r="K23" i="9"/>
  <c r="J23" i="9"/>
  <c r="F23" i="9"/>
  <c r="E23" i="9" s="1"/>
  <c r="K23" i="11"/>
  <c r="J23" i="11"/>
  <c r="F23" i="11"/>
  <c r="E23" i="11" s="1"/>
  <c r="H24" i="10" l="1"/>
  <c r="J25" i="10" s="1"/>
  <c r="K25" i="12"/>
  <c r="F25" i="12"/>
  <c r="E25" i="12" s="1"/>
  <c r="D25" i="12" s="1"/>
  <c r="J25" i="12"/>
  <c r="D23" i="9"/>
  <c r="H23" i="9"/>
  <c r="D23" i="11"/>
  <c r="H23" i="11"/>
  <c r="F25" i="10" l="1"/>
  <c r="K25" i="10"/>
  <c r="H25" i="12"/>
  <c r="K24" i="9"/>
  <c r="J24" i="9"/>
  <c r="F24" i="9"/>
  <c r="E24" i="9" s="1"/>
  <c r="J24" i="11"/>
  <c r="K24" i="11"/>
  <c r="F24" i="11"/>
  <c r="E24" i="11" s="1"/>
  <c r="E25" i="10" l="1"/>
  <c r="D25" i="10" s="1"/>
  <c r="F26" i="12"/>
  <c r="K26" i="12"/>
  <c r="J26" i="12"/>
  <c r="E26" i="12" s="1"/>
  <c r="D26" i="12" s="1"/>
  <c r="D24" i="9"/>
  <c r="H24" i="9"/>
  <c r="D24" i="11"/>
  <c r="H24" i="11"/>
  <c r="H25" i="10" l="1"/>
  <c r="H26" i="12"/>
  <c r="J25" i="9"/>
  <c r="K25" i="9"/>
  <c r="F25" i="9"/>
  <c r="E25" i="9" s="1"/>
  <c r="K25" i="11"/>
  <c r="J25" i="11"/>
  <c r="F25" i="11"/>
  <c r="E25" i="11" s="1"/>
  <c r="J26" i="10" l="1"/>
  <c r="F26" i="10"/>
  <c r="K26" i="10"/>
  <c r="K27" i="12"/>
  <c r="J27" i="12"/>
  <c r="F27" i="12"/>
  <c r="E27" i="12"/>
  <c r="D27" i="12" s="1"/>
  <c r="D25" i="9"/>
  <c r="H25" i="9"/>
  <c r="D25" i="11"/>
  <c r="H25" i="11"/>
  <c r="E26" i="10" l="1"/>
  <c r="H27" i="12"/>
  <c r="K26" i="9"/>
  <c r="J26" i="9"/>
  <c r="F26" i="9"/>
  <c r="E26" i="9" s="1"/>
  <c r="K26" i="11"/>
  <c r="J26" i="11"/>
  <c r="F26" i="11"/>
  <c r="E26" i="11" s="1"/>
  <c r="H26" i="10" l="1"/>
  <c r="D26" i="10"/>
  <c r="K28" i="12"/>
  <c r="J28" i="12"/>
  <c r="F28" i="12"/>
  <c r="E28" i="12" s="1"/>
  <c r="D28" i="12" s="1"/>
  <c r="D26" i="9"/>
  <c r="H26" i="9"/>
  <c r="D26" i="11"/>
  <c r="H26" i="11"/>
  <c r="K27" i="10" l="1"/>
  <c r="J27" i="10"/>
  <c r="F27" i="10"/>
  <c r="E27" i="10" s="1"/>
  <c r="D27" i="10" s="1"/>
  <c r="H27" i="10"/>
  <c r="H28" i="12"/>
  <c r="K27" i="9"/>
  <c r="J27" i="9"/>
  <c r="F27" i="9"/>
  <c r="E27" i="9" s="1"/>
  <c r="K27" i="11"/>
  <c r="J27" i="11"/>
  <c r="F27" i="11"/>
  <c r="E27" i="11" s="1"/>
  <c r="D27" i="11" s="1"/>
  <c r="K28" i="10" l="1"/>
  <c r="J28" i="10"/>
  <c r="F28" i="10"/>
  <c r="E28" i="10" s="1"/>
  <c r="F29" i="12"/>
  <c r="F30" i="12" s="1"/>
  <c r="E29" i="12"/>
  <c r="H29" i="12" s="1"/>
  <c r="K29" i="12"/>
  <c r="K30" i="12" s="1"/>
  <c r="J29" i="12"/>
  <c r="J30" i="12" s="1"/>
  <c r="D27" i="9"/>
  <c r="H27" i="9"/>
  <c r="H27" i="11"/>
  <c r="D28" i="10" l="1"/>
  <c r="H28" i="10"/>
  <c r="D29" i="12"/>
  <c r="E30" i="12"/>
  <c r="N30" i="12"/>
  <c r="O30" i="12" s="1"/>
  <c r="K28" i="9"/>
  <c r="J28" i="9"/>
  <c r="F28" i="9"/>
  <c r="K28" i="11"/>
  <c r="J28" i="11"/>
  <c r="F28" i="11"/>
  <c r="E28" i="11" s="1"/>
  <c r="E29" i="10" l="1"/>
  <c r="J29" i="10"/>
  <c r="J30" i="10" s="1"/>
  <c r="F29" i="10"/>
  <c r="F30" i="10" s="1"/>
  <c r="K29" i="10"/>
  <c r="K30" i="10" s="1"/>
  <c r="E28" i="9"/>
  <c r="D28" i="9" s="1"/>
  <c r="L30" i="12"/>
  <c r="D30" i="12"/>
  <c r="M30" i="12" s="1"/>
  <c r="D28" i="11"/>
  <c r="H28" i="11"/>
  <c r="N30" i="10" l="1"/>
  <c r="O30" i="10" s="1"/>
  <c r="H29" i="10"/>
  <c r="D29" i="10" s="1"/>
  <c r="E30" i="10"/>
  <c r="H28" i="9"/>
  <c r="E29" i="9"/>
  <c r="J29" i="9"/>
  <c r="J30" i="9" s="1"/>
  <c r="K29" i="9"/>
  <c r="K30" i="9" s="1"/>
  <c r="F29" i="9"/>
  <c r="F30" i="9" s="1"/>
  <c r="K29" i="11"/>
  <c r="K30" i="11" s="1"/>
  <c r="E29" i="11"/>
  <c r="J29" i="11"/>
  <c r="J30" i="11" s="1"/>
  <c r="F29" i="11"/>
  <c r="F30" i="11" s="1"/>
  <c r="D30" i="10" l="1"/>
  <c r="M30" i="10" s="1"/>
  <c r="L30" i="10"/>
  <c r="N30" i="11"/>
  <c r="O30" i="11" s="1"/>
  <c r="E30" i="9"/>
  <c r="N30" i="9"/>
  <c r="O30" i="9" s="1"/>
  <c r="H29" i="9"/>
  <c r="D29" i="9" s="1"/>
  <c r="E30" i="11"/>
  <c r="H29" i="11"/>
  <c r="D29" i="11" s="1"/>
  <c r="L30" i="9" l="1"/>
  <c r="D30" i="9"/>
  <c r="M30" i="9" s="1"/>
  <c r="L30" i="11"/>
  <c r="D30" i="11"/>
  <c r="M30" i="11" s="1"/>
  <c r="I36" i="11" l="1"/>
  <c r="I40" i="10" l="1"/>
  <c r="I40" i="9" l="1"/>
  <c r="I38" i="12" l="1"/>
  <c r="I40" i="11" l="1"/>
  <c r="I42" i="10" l="1"/>
  <c r="I42" i="9"/>
  <c r="I46" i="10" l="1"/>
  <c r="I46" i="9"/>
  <c r="I44" i="10" l="1"/>
  <c r="I44" i="9"/>
  <c r="I42" i="11" l="1"/>
  <c r="I36" i="10"/>
  <c r="I40" i="12" l="1"/>
  <c r="I44" i="12"/>
  <c r="I46" i="11" l="1"/>
  <c r="I42" i="12"/>
  <c r="I44" i="11" l="1"/>
</calcChain>
</file>

<file path=xl/sharedStrings.xml><?xml version="1.0" encoding="utf-8"?>
<sst xmlns="http://schemas.openxmlformats.org/spreadsheetml/2006/main" count="186" uniqueCount="44">
  <si>
    <t>Кредит</t>
  </si>
  <si>
    <t>Кол-во дней</t>
  </si>
  <si>
    <t>Платёж</t>
  </si>
  <si>
    <t>Тело в платеже</t>
  </si>
  <si>
    <t>% в платеже</t>
  </si>
  <si>
    <t>Страховка</t>
  </si>
  <si>
    <t>Всего</t>
  </si>
  <si>
    <t>Удорожание</t>
  </si>
  <si>
    <t>РКО кредита</t>
  </si>
  <si>
    <t>РКО Карты</t>
  </si>
  <si>
    <t>Дней</t>
  </si>
  <si>
    <t>Общае расходы на кредит</t>
  </si>
  <si>
    <t>Дата платежа</t>
  </si>
  <si>
    <t>-</t>
  </si>
  <si>
    <t>Тело после сплати ОМП</t>
  </si>
  <si>
    <t>Реальна ставка</t>
  </si>
  <si>
    <t>Введіть бажаний розмір Кредитного ліміту</t>
  </si>
  <si>
    <t>грн.</t>
  </si>
  <si>
    <t>Процентна ставка, річних</t>
  </si>
  <si>
    <t>Максимальний розмір щомісячного платежу (в перший місяць користування кредитом)</t>
  </si>
  <si>
    <t>Безкоштовна гаряча телефонна лінія:
0 800 505 20 30</t>
  </si>
  <si>
    <t>Комісія за зняття</t>
  </si>
  <si>
    <t>грн</t>
  </si>
  <si>
    <t>Добровільне страхування життя (щомісячно від розміру заборгованості)</t>
  </si>
  <si>
    <t>Загальні витрати за кредитом, гривень</t>
  </si>
  <si>
    <t>Загальна вартість кредиту для клієнта, гривень</t>
  </si>
  <si>
    <t>Реальна процентна ставка, річних</t>
  </si>
  <si>
    <t>1% мінімум 20 грн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</si>
  <si>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зняття готівки в Україні.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</si>
  <si>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зняття готівки на території України.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</si>
  <si>
    <t>РКО карты/счета</t>
  </si>
  <si>
    <t>Денна реальна ставка</t>
  </si>
  <si>
    <t>Ставка сниженная - в год</t>
  </si>
  <si>
    <t>Ставка нормальная - в год</t>
  </si>
  <si>
    <t>Ставка Grace - в год</t>
  </si>
  <si>
    <t>ОМП</t>
  </si>
  <si>
    <t>Ставка сниженная - в день</t>
  </si>
  <si>
    <t>Ставка нормальная - в день</t>
  </si>
  <si>
    <t>Ставка Grace - в день</t>
  </si>
  <si>
    <t>Порядковый номер периода</t>
  </si>
  <si>
    <t>% для доначисления после Grace</t>
  </si>
  <si>
    <t>39,6% на 92 дні далі - 72,0%</t>
  </si>
  <si>
    <t>Количество циклов в рамках "Grace"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</si>
  <si>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розрахунку в трогівельно-сервісній мережі.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</si>
</sst>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%"/>
    <numFmt numFmtId="165" formatCode="0.0%"/>
    <numFmt numFmtId="166" formatCode="0.00000%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2" tint="-0.499984740745262"/>
      <name val="Calibri"/>
      <family val="2"/>
      <charset val="204"/>
      <scheme val="minor"/>
    </font>
    <font>
      <b/>
      <sz val="16"/>
      <color theme="2" tint="-0.499984740745262"/>
      <name val="Calibri"/>
      <family val="2"/>
      <charset val="204"/>
      <scheme val="minor"/>
    </font>
    <font>
      <sz val="11"/>
      <color theme="0" tint="-0.34998626667073579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3" fontId="6" fillId="0" borderId="0" xfId="0" applyNumberFormat="1" applyFont="1" applyAlignment="1" applyProtection="1">
      <alignment horizontal="center"/>
      <protection locked="0"/>
    </xf>
    <xf numFmtId="10" fontId="8" fillId="0" borderId="0" xfId="0" applyNumberFormat="1" applyFont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left"/>
    </xf>
    <xf numFmtId="0" fontId="9" fillId="5" borderId="0" xfId="0" applyFont="1" applyFill="1" applyAlignment="1">
      <alignment horizontal="left"/>
    </xf>
    <xf numFmtId="0" fontId="9" fillId="5" borderId="0" xfId="0" applyFont="1" applyFill="1"/>
    <xf numFmtId="0" fontId="7" fillId="5" borderId="0" xfId="0" applyFont="1" applyFill="1" applyAlignment="1">
      <alignment horizontal="left" vertical="top"/>
    </xf>
    <xf numFmtId="3" fontId="8" fillId="5" borderId="0" xfId="0" applyNumberFormat="1" applyFont="1" applyFill="1" applyAlignment="1">
      <alignment horizontal="center"/>
    </xf>
    <xf numFmtId="0" fontId="8" fillId="5" borderId="0" xfId="0" applyFont="1" applyFill="1"/>
    <xf numFmtId="0" fontId="7" fillId="5" borderId="0" xfId="0" applyFont="1" applyFill="1" applyAlignment="1">
      <alignment horizontal="center" vertical="top"/>
    </xf>
    <xf numFmtId="0" fontId="6" fillId="5" borderId="0" xfId="0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2" borderId="0" xfId="0" applyFill="1" applyAlignment="1">
      <alignment horizontal="center" vertical="top" wrapText="1"/>
    </xf>
    <xf numFmtId="10" fontId="2" fillId="0" borderId="0" xfId="1" applyNumberFormat="1" applyFont="1" applyFill="1" applyAlignment="1" applyProtection="1">
      <alignment horizontal="center"/>
    </xf>
    <xf numFmtId="4" fontId="0" fillId="0" borderId="0" xfId="0" applyNumberFormat="1" applyAlignment="1">
      <alignment horizontal="right"/>
    </xf>
    <xf numFmtId="4" fontId="2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center"/>
    </xf>
    <xf numFmtId="4" fontId="8" fillId="5" borderId="0" xfId="0" applyNumberFormat="1" applyFont="1" applyFill="1" applyAlignment="1">
      <alignment horizontal="center"/>
    </xf>
    <xf numFmtId="9" fontId="8" fillId="5" borderId="0" xfId="1" applyFont="1" applyFill="1" applyBorder="1" applyAlignment="1" applyProtection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4" fontId="0" fillId="0" borderId="0" xfId="0" applyNumberFormat="1" applyAlignment="1">
      <alignment horizontal="center"/>
    </xf>
    <xf numFmtId="164" fontId="2" fillId="0" borderId="0" xfId="1" applyNumberFormat="1" applyFont="1" applyProtection="1"/>
    <xf numFmtId="165" fontId="8" fillId="0" borderId="0" xfId="1" applyNumberFormat="1" applyFont="1" applyBorder="1" applyAlignment="1" applyProtection="1">
      <alignment horizontal="center"/>
    </xf>
    <xf numFmtId="0" fontId="0" fillId="2" borderId="0" xfId="0" applyFill="1" applyAlignment="1">
      <alignment vertical="top"/>
    </xf>
    <xf numFmtId="3" fontId="0" fillId="2" borderId="0" xfId="0" applyNumberFormat="1" applyFill="1" applyAlignment="1">
      <alignment horizontal="center" vertical="top"/>
    </xf>
    <xf numFmtId="0" fontId="0" fillId="2" borderId="0" xfId="0" applyFill="1" applyAlignment="1">
      <alignment horizontal="center" vertical="top"/>
    </xf>
    <xf numFmtId="10" fontId="0" fillId="2" borderId="0" xfId="0" applyNumberFormat="1" applyFill="1" applyAlignment="1">
      <alignment horizontal="center" vertical="top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vertical="top" wrapText="1"/>
    </xf>
    <xf numFmtId="4" fontId="0" fillId="2" borderId="0" xfId="0" applyNumberFormat="1" applyFill="1" applyAlignment="1">
      <alignment horizontal="center" vertical="top"/>
    </xf>
    <xf numFmtId="0" fontId="10" fillId="6" borderId="0" xfId="0" applyFont="1" applyFill="1" applyAlignment="1">
      <alignment horizontal="left" vertical="top"/>
    </xf>
    <xf numFmtId="10" fontId="10" fillId="6" borderId="0" xfId="0" applyNumberFormat="1" applyFont="1" applyFill="1" applyAlignment="1">
      <alignment horizontal="left" vertical="top"/>
    </xf>
    <xf numFmtId="0" fontId="0" fillId="6" borderId="0" xfId="0" applyFill="1" applyAlignment="1">
      <alignment horizontal="center" vertical="top" wrapText="1"/>
    </xf>
    <xf numFmtId="0" fontId="3" fillId="6" borderId="0" xfId="0" applyFont="1" applyFill="1" applyAlignment="1">
      <alignment vertical="top" wrapText="1"/>
    </xf>
    <xf numFmtId="166" fontId="10" fillId="6" borderId="0" xfId="0" applyNumberFormat="1" applyFont="1" applyFill="1" applyAlignment="1">
      <alignment horizontal="left" vertical="top"/>
    </xf>
    <xf numFmtId="3" fontId="10" fillId="6" borderId="0" xfId="0" applyNumberFormat="1" applyFont="1" applyFill="1" applyAlignment="1">
      <alignment horizontal="left" vertical="top"/>
    </xf>
    <xf numFmtId="0" fontId="11" fillId="6" borderId="0" xfId="0" applyFont="1" applyFill="1" applyAlignment="1">
      <alignment horizontal="center" vertical="top" wrapText="1"/>
    </xf>
    <xf numFmtId="0" fontId="11" fillId="6" borderId="0" xfId="0" applyFont="1" applyFill="1" applyAlignment="1">
      <alignment vertical="top" wrapText="1"/>
    </xf>
    <xf numFmtId="0" fontId="12" fillId="0" borderId="0" xfId="0" applyFont="1" applyAlignment="1">
      <alignment horizontal="center" vertical="top" wrapText="1"/>
    </xf>
    <xf numFmtId="4" fontId="12" fillId="0" borderId="0" xfId="0" applyNumberFormat="1" applyFont="1" applyAlignment="1">
      <alignment horizontal="center"/>
    </xf>
    <xf numFmtId="0" fontId="2" fillId="5" borderId="0" xfId="0" applyFont="1" applyFill="1" applyAlignment="1">
      <alignment horizontal="center"/>
    </xf>
    <xf numFmtId="4" fontId="2" fillId="5" borderId="0" xfId="0" applyNumberFormat="1" applyFont="1" applyFill="1" applyAlignment="1">
      <alignment horizontal="center"/>
    </xf>
    <xf numFmtId="4" fontId="2" fillId="5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left" vertical="top"/>
    </xf>
    <xf numFmtId="165" fontId="8" fillId="0" borderId="0" xfId="1" applyNumberFormat="1" applyFont="1" applyBorder="1" applyAlignment="1" applyProtection="1">
      <alignment horizontal="center"/>
    </xf>
    <xf numFmtId="0" fontId="7" fillId="4" borderId="0" xfId="0" applyFont="1" applyFill="1" applyAlignment="1">
      <alignment horizontal="left" vertical="top"/>
    </xf>
    <xf numFmtId="0" fontId="9" fillId="5" borderId="0" xfId="0" applyFont="1" applyFill="1" applyAlignment="1">
      <alignment horizontal="center" vertical="top" wrapText="1"/>
    </xf>
    <xf numFmtId="0" fontId="9" fillId="5" borderId="0" xfId="0" applyFont="1" applyFill="1" applyAlignment="1">
      <alignment horizontal="left" vertical="top" wrapText="1"/>
    </xf>
    <xf numFmtId="9" fontId="8" fillId="0" borderId="0" xfId="1" applyFont="1" applyBorder="1" applyAlignment="1" applyProtection="1">
      <alignment horizont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474740</xdr:colOff>
      <xdr:row>32</xdr:row>
      <xdr:rowOff>541020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3434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474740</xdr:colOff>
      <xdr:row>33</xdr:row>
      <xdr:rowOff>45720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F02D581-E7FE-4668-BF3C-DB4CD49B0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3434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0</xdr:row>
      <xdr:rowOff>0</xdr:rowOff>
    </xdr:from>
    <xdr:to>
      <xdr:col>0</xdr:col>
      <xdr:colOff>1325880</xdr:colOff>
      <xdr:row>35</xdr:row>
      <xdr:rowOff>27121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21" y="0"/>
          <a:ext cx="1318259" cy="54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</xdr:colOff>
      <xdr:row>0</xdr:row>
      <xdr:rowOff>0</xdr:rowOff>
    </xdr:from>
    <xdr:to>
      <xdr:col>0</xdr:col>
      <xdr:colOff>1363981</xdr:colOff>
      <xdr:row>33</xdr:row>
      <xdr:rowOff>28784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A66B833-8FC3-44FC-898F-73517D66F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57" y="0"/>
          <a:ext cx="1359124" cy="56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W49"/>
  <sheetViews>
    <sheetView tabSelected="1" topLeftCell="A33" workbookViewId="0">
      <selection activeCell="I34" sqref="I34"/>
    </sheetView>
  </sheetViews>
  <sheetFormatPr defaultColWidth="0" defaultRowHeight="14.4" zeroHeight="1" x14ac:dyDescent="0.3"/>
  <cols>
    <col min="1" max="1" width="12.6640625" bestFit="1" customWidth="1"/>
    <col min="2" max="2" width="12.44140625" bestFit="1" customWidth="1"/>
    <col min="3" max="3" width="10.88671875" style="15" bestFit="1" customWidth="1"/>
    <col min="4" max="4" width="11" customWidth="1"/>
    <col min="5" max="5" width="12.44140625" bestFit="1" customWidth="1"/>
    <col min="6" max="6" width="11.88671875" bestFit="1" customWidth="1"/>
    <col min="7" max="7" width="9.109375" customWidth="1"/>
    <col min="8" max="8" width="27.33203125" customWidth="1"/>
    <col min="9" max="9" width="29.77734375" customWidth="1"/>
    <col min="10" max="10" width="12.88671875" customWidth="1"/>
    <col min="11" max="11" width="15.109375" hidden="1" customWidth="1"/>
    <col min="12" max="12" width="12.88671875" hidden="1" customWidth="1"/>
    <col min="13" max="16384" width="8.88671875" hidden="1"/>
  </cols>
  <sheetData>
    <row r="1" spans="1:15" ht="15" hidden="1" customHeight="1" x14ac:dyDescent="0.3">
      <c r="A1" s="34" t="s">
        <v>0</v>
      </c>
      <c r="B1" s="35">
        <f>I34</f>
        <v>300000</v>
      </c>
      <c r="C1" s="36"/>
      <c r="D1" s="34"/>
      <c r="M1" s="15"/>
    </row>
    <row r="2" spans="1:15" ht="15" hidden="1" customHeight="1" x14ac:dyDescent="0.3">
      <c r="A2" s="34" t="s">
        <v>32</v>
      </c>
      <c r="B2" s="37">
        <v>0.39600000000000002</v>
      </c>
      <c r="C2" s="22"/>
      <c r="D2" s="38"/>
      <c r="K2" s="13"/>
      <c r="M2" s="15"/>
    </row>
    <row r="3" spans="1:15" ht="15" hidden="1" customHeight="1" x14ac:dyDescent="0.3">
      <c r="A3" s="34" t="s">
        <v>33</v>
      </c>
      <c r="B3" s="37">
        <v>0.39600000000000002</v>
      </c>
      <c r="C3" s="22"/>
      <c r="D3" s="38"/>
      <c r="K3" s="13"/>
      <c r="M3" s="15"/>
    </row>
    <row r="4" spans="1:15" ht="15" hidden="1" customHeight="1" x14ac:dyDescent="0.3">
      <c r="A4" s="34" t="s">
        <v>34</v>
      </c>
      <c r="B4" s="37">
        <v>1E-4</v>
      </c>
      <c r="C4" s="22"/>
      <c r="D4" s="38"/>
      <c r="K4" s="13"/>
      <c r="M4" s="15"/>
    </row>
    <row r="5" spans="1:15" ht="15" hidden="1" customHeight="1" x14ac:dyDescent="0.3">
      <c r="A5" s="34" t="s">
        <v>42</v>
      </c>
      <c r="B5" s="35">
        <v>3</v>
      </c>
      <c r="C5" s="22"/>
      <c r="D5" s="38"/>
      <c r="K5" s="13"/>
      <c r="M5" s="15"/>
    </row>
    <row r="6" spans="1:15" ht="15" hidden="1" customHeight="1" x14ac:dyDescent="0.3">
      <c r="A6" s="34" t="s">
        <v>35</v>
      </c>
      <c r="B6" s="37">
        <v>3.3000000000000002E-2</v>
      </c>
      <c r="C6" s="39"/>
      <c r="D6" s="38"/>
      <c r="M6" s="15"/>
    </row>
    <row r="7" spans="1:15" ht="15" hidden="1" customHeight="1" x14ac:dyDescent="0.3">
      <c r="A7" s="34" t="s">
        <v>5</v>
      </c>
      <c r="B7" s="37">
        <v>0</v>
      </c>
      <c r="C7" s="22"/>
      <c r="D7" s="38"/>
      <c r="M7" s="15"/>
    </row>
    <row r="8" spans="1:15" ht="15" hidden="1" customHeight="1" x14ac:dyDescent="0.3">
      <c r="A8" s="34" t="s">
        <v>21</v>
      </c>
      <c r="B8" s="37">
        <v>0</v>
      </c>
      <c r="C8" s="22">
        <v>0</v>
      </c>
      <c r="D8" s="40" t="s">
        <v>22</v>
      </c>
      <c r="M8" s="15"/>
    </row>
    <row r="9" spans="1:15" ht="15" hidden="1" customHeight="1" x14ac:dyDescent="0.3">
      <c r="A9" s="34" t="s">
        <v>8</v>
      </c>
      <c r="B9" s="37">
        <v>0</v>
      </c>
      <c r="C9" s="22"/>
      <c r="D9" s="38"/>
      <c r="M9" s="15"/>
    </row>
    <row r="10" spans="1:15" ht="14.4" hidden="1" customHeight="1" x14ac:dyDescent="0.3">
      <c r="A10" s="34" t="s">
        <v>30</v>
      </c>
      <c r="B10" s="41">
        <v>0</v>
      </c>
      <c r="C10" s="22"/>
      <c r="D10" s="38"/>
      <c r="M10" s="15"/>
    </row>
    <row r="11" spans="1:15" ht="21" hidden="1" x14ac:dyDescent="0.3">
      <c r="A11" s="42" t="s">
        <v>36</v>
      </c>
      <c r="B11" s="43">
        <f>B2/B14</f>
        <v>1.084931506849315E-3</v>
      </c>
      <c r="C11" s="44"/>
      <c r="D11" s="45"/>
      <c r="K11" s="13"/>
      <c r="M11" s="15"/>
    </row>
    <row r="12" spans="1:15" s="17" customFormat="1" ht="21" hidden="1" x14ac:dyDescent="0.3">
      <c r="A12" s="42" t="s">
        <v>37</v>
      </c>
      <c r="B12" s="43">
        <f>B3/B14</f>
        <v>1.084931506849315E-3</v>
      </c>
      <c r="C12" s="44"/>
      <c r="D12" s="45"/>
      <c r="E12"/>
      <c r="F12"/>
      <c r="G12"/>
      <c r="H12"/>
      <c r="I12"/>
      <c r="J12"/>
      <c r="K12" s="13"/>
      <c r="L12"/>
      <c r="M12" s="15"/>
      <c r="N12"/>
      <c r="O12"/>
    </row>
    <row r="13" spans="1:15" ht="21" hidden="1" x14ac:dyDescent="0.3">
      <c r="A13" s="42" t="s">
        <v>38</v>
      </c>
      <c r="B13" s="46">
        <f>B4/B14</f>
        <v>2.7397260273972602E-7</v>
      </c>
      <c r="C13" s="44"/>
      <c r="D13" s="45"/>
      <c r="K13" s="13"/>
      <c r="M13" s="15"/>
    </row>
    <row r="14" spans="1:15" ht="21" hidden="1" x14ac:dyDescent="0.3">
      <c r="A14" s="42" t="s">
        <v>10</v>
      </c>
      <c r="B14" s="47">
        <f>SUM(B18:B29)</f>
        <v>365</v>
      </c>
      <c r="C14" s="48"/>
      <c r="D14" s="49"/>
      <c r="M14" s="15"/>
    </row>
    <row r="15" spans="1:15" hidden="1" x14ac:dyDescent="0.3">
      <c r="B15" s="14"/>
      <c r="N15" s="15"/>
    </row>
    <row r="16" spans="1:15" ht="74.400000000000006" hidden="1" customHeight="1" x14ac:dyDescent="0.3">
      <c r="A16" s="16" t="s">
        <v>39</v>
      </c>
      <c r="B16" s="16" t="s">
        <v>1</v>
      </c>
      <c r="C16" s="16" t="s">
        <v>12</v>
      </c>
      <c r="D16" s="16" t="s">
        <v>2</v>
      </c>
      <c r="E16" s="16" t="s">
        <v>3</v>
      </c>
      <c r="F16" s="16" t="s">
        <v>4</v>
      </c>
      <c r="G16" s="50" t="s">
        <v>40</v>
      </c>
      <c r="H16" s="16" t="s">
        <v>14</v>
      </c>
      <c r="I16" s="16" t="s">
        <v>9</v>
      </c>
      <c r="J16" s="16" t="s">
        <v>8</v>
      </c>
      <c r="K16" s="16" t="s">
        <v>5</v>
      </c>
      <c r="L16" s="16" t="s">
        <v>15</v>
      </c>
      <c r="M16" s="16" t="s">
        <v>11</v>
      </c>
      <c r="N16" s="16" t="s">
        <v>7</v>
      </c>
      <c r="O16" s="16" t="s">
        <v>31</v>
      </c>
    </row>
    <row r="17" spans="1:15" hidden="1" x14ac:dyDescent="0.3">
      <c r="B17" s="15"/>
      <c r="C17" s="18">
        <v>44197</v>
      </c>
      <c r="D17" s="31">
        <f>(-1)*B1+B1*B8+C8</f>
        <v>-300000</v>
      </c>
      <c r="E17" s="31"/>
      <c r="F17" s="31"/>
      <c r="G17" s="51"/>
      <c r="H17" s="31"/>
      <c r="I17" s="31">
        <f>(B1)*B8+C8</f>
        <v>0</v>
      </c>
      <c r="J17" s="24"/>
      <c r="K17" s="24"/>
      <c r="L17" s="15"/>
      <c r="M17" s="15"/>
      <c r="N17" s="15"/>
      <c r="O17" s="15"/>
    </row>
    <row r="18" spans="1:15" hidden="1" x14ac:dyDescent="0.3">
      <c r="A18" s="15">
        <v>1</v>
      </c>
      <c r="B18" s="15">
        <v>31</v>
      </c>
      <c r="C18" s="18">
        <v>44228</v>
      </c>
      <c r="D18" s="31">
        <f>E18+F18+I18+J18+K18</f>
        <v>9900</v>
      </c>
      <c r="E18" s="31">
        <f>IF(($B$6*B1-F18-I18-K18)&lt;0,0,($B$6*B1-F18-I18-K18))</f>
        <v>9897.4520547945212</v>
      </c>
      <c r="F18" s="31">
        <f>IF(A18&lt;B5,(B13*B1*B18),(IF(A18=B5,(B11*B1*B18),(B12*B1*B18))))</f>
        <v>2.547945205479452</v>
      </c>
      <c r="G18" s="51">
        <f>IF(A18&lt;B5,($B$11*B1*B18),0)</f>
        <v>10089.86301369863</v>
      </c>
      <c r="H18" s="31">
        <f>B1-E18</f>
        <v>290102.54794520547</v>
      </c>
      <c r="I18" s="31">
        <f>B10</f>
        <v>0</v>
      </c>
      <c r="J18" s="24">
        <f>(-1)*B9*D17</f>
        <v>0</v>
      </c>
      <c r="K18" s="24">
        <f>B1*B7</f>
        <v>0</v>
      </c>
      <c r="L18" s="15"/>
      <c r="M18" s="15"/>
      <c r="N18" s="15"/>
      <c r="O18" s="15"/>
    </row>
    <row r="19" spans="1:15" hidden="1" x14ac:dyDescent="0.3">
      <c r="A19" s="15">
        <v>2</v>
      </c>
      <c r="B19" s="15">
        <v>28</v>
      </c>
      <c r="C19" s="18">
        <v>44256</v>
      </c>
      <c r="D19" s="31">
        <f>E19+F19+I19+J19+K19</f>
        <v>9573.3840821917802</v>
      </c>
      <c r="E19" s="31">
        <f t="shared" ref="E19:E28" si="0">IF(($B$6*H18-F19-I19-J19-K19)&lt;0,0,($B$6*H18-F19-I19-J19-K19))</f>
        <v>9571.1586379883647</v>
      </c>
      <c r="F19" s="31">
        <f>IF(A19&lt;B5,(B13*H18*B19),(IF(A19=B5,(B11*H18*B19+G18-F18),(B12*H18*B19))))</f>
        <v>2.2254442034152748</v>
      </c>
      <c r="G19" s="51">
        <f>IF(A19&lt;B5,($B$11*H18*B19),0)</f>
        <v>8812.7590455244881</v>
      </c>
      <c r="H19" s="31">
        <f t="shared" ref="H19:H29" si="1">H18-E19</f>
        <v>280531.38930721709</v>
      </c>
      <c r="I19" s="31">
        <f t="shared" ref="I19:I29" si="2">$B$10</f>
        <v>0</v>
      </c>
      <c r="J19" s="24">
        <f>+B9*H18</f>
        <v>0</v>
      </c>
      <c r="K19" s="24">
        <f t="shared" ref="K19:K29" si="3">H18*$B$7</f>
        <v>0</v>
      </c>
      <c r="L19" s="15"/>
      <c r="M19" s="15"/>
      <c r="N19" s="15"/>
      <c r="O19" s="15"/>
    </row>
    <row r="20" spans="1:15" hidden="1" x14ac:dyDescent="0.3">
      <c r="A20" s="15">
        <v>3</v>
      </c>
      <c r="B20" s="15">
        <v>31</v>
      </c>
      <c r="C20" s="18">
        <v>44287</v>
      </c>
      <c r="D20" s="31">
        <f t="shared" ref="D20:D28" si="4">E20+F20+I20+J20+K20</f>
        <v>28337.699689731053</v>
      </c>
      <c r="E20" s="31">
        <f t="shared" si="0"/>
        <v>0</v>
      </c>
      <c r="F20" s="31">
        <f>IF(A20&lt;B5,(B13*H19*B20),(IF(A20=B5,(B11*H19*B20+G19+G18),(B12*H19*B20))))</f>
        <v>28337.699689731053</v>
      </c>
      <c r="G20" s="51">
        <f>IF(A20&lt;B5,($B$11*H19*B20),0)</f>
        <v>0</v>
      </c>
      <c r="H20" s="31">
        <f t="shared" si="1"/>
        <v>280531.38930721709</v>
      </c>
      <c r="I20" s="31">
        <f t="shared" si="2"/>
        <v>0</v>
      </c>
      <c r="J20" s="24">
        <f>B9*H19</f>
        <v>0</v>
      </c>
      <c r="K20" s="24">
        <f t="shared" si="3"/>
        <v>0</v>
      </c>
      <c r="L20" s="15"/>
      <c r="M20" s="15"/>
      <c r="N20" s="15"/>
      <c r="O20" s="15"/>
    </row>
    <row r="21" spans="1:15" hidden="1" x14ac:dyDescent="0.3">
      <c r="A21" s="15">
        <v>4</v>
      </c>
      <c r="B21" s="15">
        <v>30</v>
      </c>
      <c r="C21" s="18">
        <v>44317</v>
      </c>
      <c r="D21" s="31">
        <f t="shared" si="4"/>
        <v>9257.5358471381642</v>
      </c>
      <c r="E21" s="31">
        <f t="shared" si="0"/>
        <v>126.81555954983924</v>
      </c>
      <c r="F21" s="31">
        <f>IF(A21&lt;B5,(B13*H20*B21),(IF(A21=B5,(B11*H20*B21+G20+G19+G18),(B12*H20*B21))))</f>
        <v>9130.7202875883249</v>
      </c>
      <c r="G21" s="51">
        <f>IF(A21&lt;B5,($B$11*H20*B21),0)</f>
        <v>0</v>
      </c>
      <c r="H21" s="31">
        <f t="shared" si="1"/>
        <v>280404.57374766725</v>
      </c>
      <c r="I21" s="31">
        <f t="shared" si="2"/>
        <v>0</v>
      </c>
      <c r="J21" s="24">
        <f>+B9*H20</f>
        <v>0</v>
      </c>
      <c r="K21" s="24">
        <f t="shared" si="3"/>
        <v>0</v>
      </c>
      <c r="L21" s="15"/>
      <c r="M21" s="15"/>
      <c r="N21" s="15"/>
      <c r="O21" s="15"/>
    </row>
    <row r="22" spans="1:15" hidden="1" x14ac:dyDescent="0.3">
      <c r="A22" s="15">
        <v>5</v>
      </c>
      <c r="B22" s="15">
        <v>31</v>
      </c>
      <c r="C22" s="18">
        <v>44348</v>
      </c>
      <c r="D22" s="31">
        <f t="shared" si="4"/>
        <v>9430.8124584283923</v>
      </c>
      <c r="E22" s="31">
        <f t="shared" si="0"/>
        <v>0</v>
      </c>
      <c r="F22" s="31">
        <f>IF(A22&lt;B5,(B13*H21*B22),(IF(A22=B5,(B11*H21*B22+G21+G20+G19+G18),(B12*H21*B22))))</f>
        <v>9430.8124584283923</v>
      </c>
      <c r="G22" s="51">
        <f>IF(A22&lt;B5,($B$11*H21*B22),0)</f>
        <v>0</v>
      </c>
      <c r="H22" s="31">
        <f t="shared" si="1"/>
        <v>280404.57374766725</v>
      </c>
      <c r="I22" s="31">
        <f t="shared" si="2"/>
        <v>0</v>
      </c>
      <c r="J22" s="24">
        <f>+B9*H21</f>
        <v>0</v>
      </c>
      <c r="K22" s="24">
        <f t="shared" si="3"/>
        <v>0</v>
      </c>
      <c r="L22" s="15"/>
      <c r="M22" s="15"/>
      <c r="N22" s="15"/>
      <c r="O22" s="15"/>
    </row>
    <row r="23" spans="1:15" hidden="1" x14ac:dyDescent="0.3">
      <c r="A23" s="15">
        <v>6</v>
      </c>
      <c r="B23" s="15">
        <v>30</v>
      </c>
      <c r="C23" s="18">
        <v>44378</v>
      </c>
      <c r="D23" s="31">
        <f t="shared" si="4"/>
        <v>9253.3509336730203</v>
      </c>
      <c r="E23" s="31">
        <f t="shared" si="0"/>
        <v>126.75823196812416</v>
      </c>
      <c r="F23" s="31">
        <f>IF(A23&lt;B5,(B13*H22*B23),(IF(A23=B5,(B11*H22*B23+G22+G21+G20+G19+G18),(B12*H22*B23))))</f>
        <v>9126.5927017048962</v>
      </c>
      <c r="G23" s="51">
        <f>IF(A23&lt;B5,($B$11*H22*B23),0)</f>
        <v>0</v>
      </c>
      <c r="H23" s="31">
        <f t="shared" si="1"/>
        <v>280277.8155156991</v>
      </c>
      <c r="I23" s="31">
        <f t="shared" si="2"/>
        <v>0</v>
      </c>
      <c r="J23" s="24">
        <f>+B9*H22</f>
        <v>0</v>
      </c>
      <c r="K23" s="24">
        <f t="shared" si="3"/>
        <v>0</v>
      </c>
      <c r="L23" s="15"/>
      <c r="M23" s="15"/>
      <c r="N23" s="15"/>
      <c r="O23" s="15"/>
    </row>
    <row r="24" spans="1:15" hidden="1" x14ac:dyDescent="0.3">
      <c r="A24" s="15">
        <v>7</v>
      </c>
      <c r="B24" s="15">
        <v>31</v>
      </c>
      <c r="C24" s="18">
        <v>44409</v>
      </c>
      <c r="D24" s="31">
        <f t="shared" si="4"/>
        <v>9426.5492144403343</v>
      </c>
      <c r="E24" s="31">
        <f t="shared" si="0"/>
        <v>0</v>
      </c>
      <c r="F24" s="31">
        <f>IF(A24&lt;B5,(B13*H23*B24),(IF(A24=B5,(B11*H23*B24+G23+G22+G21+G20+G19+G18),(B12*H23*B24))))</f>
        <v>9426.5492144403343</v>
      </c>
      <c r="G24" s="51">
        <f>IF(A24&lt;B5,($B$11*H23*B24),0)</f>
        <v>0</v>
      </c>
      <c r="H24" s="31">
        <f t="shared" si="1"/>
        <v>280277.8155156991</v>
      </c>
      <c r="I24" s="31">
        <f t="shared" si="2"/>
        <v>0</v>
      </c>
      <c r="J24" s="24">
        <f>B9*H23</f>
        <v>0</v>
      </c>
      <c r="K24" s="24">
        <f t="shared" si="3"/>
        <v>0</v>
      </c>
      <c r="L24" s="15"/>
      <c r="M24" s="15"/>
      <c r="N24" s="15"/>
      <c r="O24" s="15"/>
    </row>
    <row r="25" spans="1:15" hidden="1" x14ac:dyDescent="0.3">
      <c r="A25" s="15">
        <v>8</v>
      </c>
      <c r="B25" s="15">
        <v>31</v>
      </c>
      <c r="C25" s="18">
        <v>44440</v>
      </c>
      <c r="D25" s="31">
        <f t="shared" si="4"/>
        <v>9426.5492144403343</v>
      </c>
      <c r="E25" s="31">
        <f t="shared" si="0"/>
        <v>0</v>
      </c>
      <c r="F25" s="31">
        <f>IF(A25&lt;B5,(B13*H24*B25),(IF(A25=B5,(B11*H24*B25+G24+G23+G22+G21+G20+G19+G18),(B12*H24*B25))))</f>
        <v>9426.5492144403343</v>
      </c>
      <c r="G25" s="51">
        <f>IF(A25&lt;B5,($B$11*H24*B25),0)</f>
        <v>0</v>
      </c>
      <c r="H25" s="31">
        <f t="shared" si="1"/>
        <v>280277.8155156991</v>
      </c>
      <c r="I25" s="31">
        <f t="shared" si="2"/>
        <v>0</v>
      </c>
      <c r="J25" s="24">
        <f>+B9*H24</f>
        <v>0</v>
      </c>
      <c r="K25" s="24">
        <f t="shared" si="3"/>
        <v>0</v>
      </c>
      <c r="L25" s="15"/>
      <c r="M25" s="15"/>
      <c r="N25" s="15"/>
      <c r="O25" s="15"/>
    </row>
    <row r="26" spans="1:15" hidden="1" x14ac:dyDescent="0.3">
      <c r="A26" s="15">
        <v>9</v>
      </c>
      <c r="B26" s="15">
        <v>30</v>
      </c>
      <c r="C26" s="18">
        <v>44470</v>
      </c>
      <c r="D26" s="31">
        <f t="shared" si="4"/>
        <v>9249.1679120180706</v>
      </c>
      <c r="E26" s="31">
        <f t="shared" si="0"/>
        <v>126.70093030161843</v>
      </c>
      <c r="F26" s="31">
        <f>IF(A26&lt;B5,(B13*H25*B26),(IF(A26=B5,(B11*H25*B26+G25+G24+G23+G22+G21+G20+G19+G18),(B12*H25*B26))))</f>
        <v>9122.4669817164522</v>
      </c>
      <c r="G26" s="51">
        <f>IF(A26&lt;B5,($B$11*H25*B26),0)</f>
        <v>0</v>
      </c>
      <c r="H26" s="31">
        <f t="shared" si="1"/>
        <v>280151.11458539747</v>
      </c>
      <c r="I26" s="31">
        <f t="shared" si="2"/>
        <v>0</v>
      </c>
      <c r="J26" s="24">
        <f>+B9*H25</f>
        <v>0</v>
      </c>
      <c r="K26" s="24">
        <f t="shared" si="3"/>
        <v>0</v>
      </c>
      <c r="L26" s="15"/>
      <c r="M26" s="15"/>
      <c r="N26" s="15"/>
      <c r="O26" s="15"/>
    </row>
    <row r="27" spans="1:15" ht="13.2" hidden="1" customHeight="1" x14ac:dyDescent="0.3">
      <c r="A27" s="15">
        <v>10</v>
      </c>
      <c r="B27" s="15">
        <v>31</v>
      </c>
      <c r="C27" s="18">
        <v>44501</v>
      </c>
      <c r="D27" s="31">
        <f t="shared" si="4"/>
        <v>9422.2878976721622</v>
      </c>
      <c r="E27" s="31">
        <f t="shared" si="0"/>
        <v>0</v>
      </c>
      <c r="F27" s="31">
        <f>IF(A27&lt;B5,(B13*H26*B27),(IF(A27=B5,(B11*H26*B27+G26+G25+G24+G23+G22+G21+G20+G19+G18),(B12*H26*B27))))</f>
        <v>9422.2878976721622</v>
      </c>
      <c r="G27" s="51">
        <f>IF(A27&lt;B5,($B$11*H26*B27),0)</f>
        <v>0</v>
      </c>
      <c r="H27" s="31">
        <f t="shared" si="1"/>
        <v>280151.11458539747</v>
      </c>
      <c r="I27" s="31">
        <f t="shared" si="2"/>
        <v>0</v>
      </c>
      <c r="J27" s="24">
        <f>+B9*H26</f>
        <v>0</v>
      </c>
      <c r="K27" s="24">
        <f t="shared" si="3"/>
        <v>0</v>
      </c>
      <c r="L27" s="15"/>
      <c r="M27" s="15"/>
      <c r="N27" s="15"/>
      <c r="O27" s="15"/>
    </row>
    <row r="28" spans="1:15" hidden="1" x14ac:dyDescent="0.3">
      <c r="A28" s="15">
        <v>11</v>
      </c>
      <c r="B28" s="15">
        <v>30</v>
      </c>
      <c r="C28" s="18">
        <v>44531</v>
      </c>
      <c r="D28" s="31">
        <f t="shared" si="4"/>
        <v>9244.9867813181172</v>
      </c>
      <c r="E28" s="31">
        <f t="shared" si="0"/>
        <v>126.6436545386041</v>
      </c>
      <c r="F28" s="31">
        <f>IF(A28&lt;B5,(B13*H27*B28),(IF(A28=B5,(B11*H27*B28+G27+G26+G25+G24+G23+G22+G21+G20+G19+G18),(B12*H27*B28))))</f>
        <v>9118.3431267795131</v>
      </c>
      <c r="G28" s="51">
        <f>IF(A28&lt;B5,($B$11*H27*B28),0)</f>
        <v>0</v>
      </c>
      <c r="H28" s="31">
        <f t="shared" si="1"/>
        <v>280024.47093085886</v>
      </c>
      <c r="I28" s="31">
        <f t="shared" si="2"/>
        <v>0</v>
      </c>
      <c r="J28" s="24">
        <f>B9*H27</f>
        <v>0</v>
      </c>
      <c r="K28" s="24">
        <f t="shared" si="3"/>
        <v>0</v>
      </c>
      <c r="L28" s="15"/>
      <c r="M28" s="15"/>
      <c r="N28" s="15"/>
      <c r="O28" s="15"/>
    </row>
    <row r="29" spans="1:15" s="4" customFormat="1" ht="13.8" hidden="1" customHeight="1" x14ac:dyDescent="0.3">
      <c r="A29" s="15">
        <v>12</v>
      </c>
      <c r="B29" s="15">
        <v>31</v>
      </c>
      <c r="C29" s="18">
        <v>44562</v>
      </c>
      <c r="D29" s="31">
        <f>E29+F29+I29+J29+K29+H29</f>
        <v>289442.49943811155</v>
      </c>
      <c r="E29" s="31">
        <f>H28</f>
        <v>280024.47093085886</v>
      </c>
      <c r="F29" s="31">
        <f>IF(A29&lt;B5,(B13*H28*B29),(IF(A29=B5,(B11*H28*B29+G28+G27+G26+G25+G24+G23+G22+G21+G20+G19+G18),(B12*H28*B29))))</f>
        <v>9418.0285072526658</v>
      </c>
      <c r="G29" s="51">
        <f>IF(A29&lt;B5,($B$11*H28*B29),0)</f>
        <v>0</v>
      </c>
      <c r="H29" s="31">
        <f t="shared" si="1"/>
        <v>0</v>
      </c>
      <c r="I29" s="31">
        <f t="shared" si="2"/>
        <v>0</v>
      </c>
      <c r="J29" s="24">
        <f>B9*H28</f>
        <v>0</v>
      </c>
      <c r="K29" s="24">
        <f t="shared" si="3"/>
        <v>0</v>
      </c>
      <c r="L29" s="15"/>
      <c r="M29" s="31"/>
      <c r="N29" s="31"/>
      <c r="O29" s="15"/>
    </row>
    <row r="30" spans="1:15" s="1" customFormat="1" hidden="1" x14ac:dyDescent="0.3">
      <c r="A30"/>
      <c r="B30" s="20" t="s">
        <v>6</v>
      </c>
      <c r="C30" s="20" t="s">
        <v>13</v>
      </c>
      <c r="D30" s="21">
        <f>SUM(D18:D29)</f>
        <v>411964.82346916298</v>
      </c>
      <c r="E30" s="21">
        <f>SUM(E18:E29)</f>
        <v>299999.99999999994</v>
      </c>
      <c r="F30" s="21">
        <f>SUM(F18:F29)</f>
        <v>111964.82346916301</v>
      </c>
      <c r="G30" s="21"/>
      <c r="H30" s="21" t="s">
        <v>13</v>
      </c>
      <c r="I30" s="21">
        <f>SUM(I17:I29)</f>
        <v>0</v>
      </c>
      <c r="J30" s="25">
        <f>SUM(J18:J29)</f>
        <v>0</v>
      </c>
      <c r="K30" s="25">
        <f>SUM(K18:K29)</f>
        <v>0</v>
      </c>
      <c r="L30" s="23">
        <f>XIRR(D17:D29,C17:C29)</f>
        <v>0.47113352417945864</v>
      </c>
      <c r="M30" s="21">
        <f>D30+I17</f>
        <v>411964.82346916298</v>
      </c>
      <c r="N30" s="21">
        <f>F30+I30+J30+K30</f>
        <v>111964.82346916301</v>
      </c>
      <c r="O30" s="32">
        <f>(N30/B1)/365</f>
        <v>1.0225098033713517E-3</v>
      </c>
    </row>
    <row r="31" spans="1:15" ht="13.2" hidden="1" customHeight="1" x14ac:dyDescent="0.3">
      <c r="A31" s="19"/>
      <c r="B31" s="20"/>
      <c r="C31" s="25"/>
      <c r="D31" s="25"/>
      <c r="E31" s="25"/>
      <c r="F31" s="25"/>
      <c r="G31" s="25"/>
      <c r="H31" s="25"/>
      <c r="I31" s="25"/>
      <c r="J31" s="23"/>
      <c r="K31" s="21"/>
      <c r="L31" s="21"/>
      <c r="M31" s="32"/>
    </row>
    <row r="33" spans="1:231" s="4" customFormat="1" ht="45" customHeight="1" x14ac:dyDescent="0.2">
      <c r="E33" s="5"/>
      <c r="F33" s="5"/>
    </row>
    <row r="34" spans="1:231" s="1" customFormat="1" ht="20.399999999999999" x14ac:dyDescent="0.35">
      <c r="A34" s="55" t="s">
        <v>16</v>
      </c>
      <c r="B34" s="55"/>
      <c r="C34" s="55"/>
      <c r="D34" s="55"/>
      <c r="E34" s="55"/>
      <c r="F34" s="55"/>
      <c r="G34" s="55"/>
      <c r="H34" s="55"/>
      <c r="I34" s="2">
        <v>300000</v>
      </c>
      <c r="J34" s="12" t="s">
        <v>17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</row>
    <row r="35" spans="1:231" s="4" customFormat="1" ht="10.199999999999999" customHeight="1" x14ac:dyDescent="0.3">
      <c r="A35" s="8"/>
      <c r="B35" s="8"/>
      <c r="C35" s="8"/>
      <c r="D35" s="8"/>
      <c r="E35" s="8"/>
      <c r="F35" s="8"/>
      <c r="G35" s="8"/>
      <c r="H35" s="8"/>
      <c r="I35" s="9"/>
      <c r="J35" s="10"/>
    </row>
    <row r="36" spans="1:231" s="1" customFormat="1" ht="17.399999999999999" x14ac:dyDescent="0.3">
      <c r="A36" s="57" t="s">
        <v>18</v>
      </c>
      <c r="B36" s="57"/>
      <c r="C36" s="57"/>
      <c r="D36" s="57"/>
      <c r="E36" s="57"/>
      <c r="F36" s="57"/>
      <c r="G36" s="57"/>
      <c r="H36" s="57"/>
      <c r="I36" s="33">
        <f>B2</f>
        <v>0.39600000000000002</v>
      </c>
      <c r="J36" s="10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</row>
    <row r="37" spans="1:231" s="4" customFormat="1" ht="10.199999999999999" customHeight="1" x14ac:dyDescent="0.3">
      <c r="A37" s="8"/>
      <c r="B37" s="8"/>
      <c r="C37" s="8"/>
      <c r="D37" s="8"/>
      <c r="E37" s="8"/>
      <c r="F37" s="8"/>
      <c r="G37" s="8"/>
      <c r="H37" s="8"/>
      <c r="I37" s="28"/>
      <c r="J37" s="10"/>
    </row>
    <row r="38" spans="1:231" s="1" customFormat="1" ht="17.399999999999999" hidden="1" x14ac:dyDescent="0.3">
      <c r="A38" s="57" t="s">
        <v>23</v>
      </c>
      <c r="B38" s="57"/>
      <c r="C38" s="57"/>
      <c r="D38" s="57"/>
      <c r="E38" s="57"/>
      <c r="F38" s="57"/>
      <c r="G38" s="57"/>
      <c r="H38" s="57"/>
      <c r="I38" s="60" t="s">
        <v>27</v>
      </c>
      <c r="J38" s="60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</row>
    <row r="39" spans="1:231" s="4" customFormat="1" ht="9" hidden="1" customHeight="1" x14ac:dyDescent="0.3">
      <c r="A39" s="8"/>
      <c r="B39" s="8"/>
      <c r="C39" s="8"/>
      <c r="D39" s="8"/>
      <c r="E39" s="8"/>
      <c r="F39" s="8"/>
      <c r="G39" s="8"/>
      <c r="H39" s="8"/>
      <c r="I39" s="28"/>
      <c r="J39" s="10"/>
    </row>
    <row r="40" spans="1:231" s="1" customFormat="1" ht="17.399999999999999" x14ac:dyDescent="0.3">
      <c r="A40" s="57" t="s">
        <v>19</v>
      </c>
      <c r="B40" s="57"/>
      <c r="C40" s="57"/>
      <c r="D40" s="57"/>
      <c r="E40" s="57"/>
      <c r="F40" s="57"/>
      <c r="G40" s="57"/>
      <c r="H40" s="57"/>
      <c r="I40" s="26">
        <f>D20</f>
        <v>28337.699689731053</v>
      </c>
      <c r="J40" s="10" t="s">
        <v>17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</row>
    <row r="41" spans="1:231" s="4" customFormat="1" ht="10.199999999999999" customHeight="1" x14ac:dyDescent="0.3">
      <c r="A41" s="8"/>
      <c r="B41" s="8"/>
      <c r="C41" s="8"/>
      <c r="D41" s="8"/>
      <c r="E41" s="8"/>
      <c r="F41" s="8"/>
      <c r="G41" s="8"/>
      <c r="H41" s="8"/>
      <c r="I41" s="27"/>
      <c r="J41" s="10"/>
    </row>
    <row r="42" spans="1:231" s="1" customFormat="1" ht="17.399999999999999" x14ac:dyDescent="0.3">
      <c r="A42" s="57" t="s">
        <v>24</v>
      </c>
      <c r="B42" s="57"/>
      <c r="C42" s="57"/>
      <c r="D42" s="57"/>
      <c r="E42" s="57"/>
      <c r="F42" s="57"/>
      <c r="G42" s="57"/>
      <c r="H42" s="57"/>
      <c r="I42" s="26">
        <f>F30</f>
        <v>111964.82346916301</v>
      </c>
      <c r="J42" s="10" t="s">
        <v>17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</row>
    <row r="43" spans="1:231" s="4" customFormat="1" ht="10.199999999999999" customHeight="1" x14ac:dyDescent="0.3">
      <c r="A43" s="8"/>
      <c r="B43" s="8"/>
      <c r="C43" s="8"/>
      <c r="D43" s="8"/>
      <c r="E43" s="8"/>
      <c r="F43" s="8"/>
      <c r="G43" s="8"/>
      <c r="H43" s="8"/>
      <c r="I43" s="27"/>
      <c r="J43" s="10"/>
    </row>
    <row r="44" spans="1:231" s="1" customFormat="1" ht="17.399999999999999" x14ac:dyDescent="0.3">
      <c r="A44" s="57" t="s">
        <v>25</v>
      </c>
      <c r="B44" s="57"/>
      <c r="C44" s="57"/>
      <c r="D44" s="57"/>
      <c r="E44" s="57"/>
      <c r="F44" s="57"/>
      <c r="G44" s="57"/>
      <c r="H44" s="57"/>
      <c r="I44" s="26">
        <f>D30</f>
        <v>411964.82346916298</v>
      </c>
      <c r="J44" s="10" t="s">
        <v>17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</row>
    <row r="45" spans="1:231" s="4" customFormat="1" ht="10.199999999999999" customHeight="1" x14ac:dyDescent="0.3">
      <c r="A45" s="8"/>
      <c r="B45" s="8"/>
      <c r="C45" s="8"/>
      <c r="D45" s="8"/>
      <c r="E45" s="8"/>
      <c r="F45" s="8"/>
      <c r="G45" s="8"/>
      <c r="H45" s="8"/>
      <c r="I45" s="9"/>
      <c r="J45" s="10"/>
    </row>
    <row r="46" spans="1:231" s="1" customFormat="1" ht="17.399999999999999" x14ac:dyDescent="0.3">
      <c r="A46" s="57" t="s">
        <v>26</v>
      </c>
      <c r="B46" s="57"/>
      <c r="C46" s="57"/>
      <c r="D46" s="57"/>
      <c r="E46" s="57"/>
      <c r="F46" s="57"/>
      <c r="G46" s="57"/>
      <c r="H46" s="57"/>
      <c r="I46" s="3">
        <f>L30</f>
        <v>0.47113352417945864</v>
      </c>
      <c r="J46" s="10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</row>
    <row r="47" spans="1:231" s="1" customFormat="1" ht="9.6" customHeight="1" x14ac:dyDescent="0.35">
      <c r="A47" s="4"/>
      <c r="B47" s="4"/>
      <c r="C47" s="4"/>
      <c r="D47" s="4"/>
      <c r="E47" s="5"/>
      <c r="F47" s="6"/>
      <c r="G47" s="7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</row>
    <row r="48" spans="1:231" s="1" customFormat="1" ht="100.95" customHeight="1" x14ac:dyDescent="0.2">
      <c r="A48" s="59" t="s">
        <v>43</v>
      </c>
      <c r="B48" s="59"/>
      <c r="C48" s="59"/>
      <c r="D48" s="59"/>
      <c r="E48" s="59"/>
      <c r="F48" s="59"/>
      <c r="G48" s="59"/>
      <c r="H48" s="59"/>
      <c r="I48" s="59"/>
      <c r="J48" s="59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</row>
    <row r="49" spans="1:231" s="1" customFormat="1" ht="40.200000000000003" customHeight="1" x14ac:dyDescent="0.2">
      <c r="A49" s="58" t="s">
        <v>20</v>
      </c>
      <c r="B49" s="58"/>
      <c r="C49" s="58"/>
      <c r="D49" s="58"/>
      <c r="E49" s="58"/>
      <c r="F49" s="58"/>
      <c r="G49" s="58"/>
      <c r="H49" s="58"/>
      <c r="I49" s="58"/>
      <c r="J49" s="58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</row>
  </sheetData>
  <sheetProtection algorithmName="SHA-512" hashValue="FweD1+N8kkwPwi0RrY2h4cd9eWxpBdknz9as/LnTM8mebA6eiCXWVCZ9vEYOX8rgZwCErRFI58Ew7vB2yMpYsA==" saltValue="FflSTCfbiIv9oBl8KiZI7A==" spinCount="100000" sheet="1" objects="1" scenarios="1"/>
  <mergeCells count="10">
    <mergeCell ref="A44:H44"/>
    <mergeCell ref="A46:H46"/>
    <mergeCell ref="A48:J48"/>
    <mergeCell ref="A49:J49"/>
    <mergeCell ref="A34:H34"/>
    <mergeCell ref="A36:H36"/>
    <mergeCell ref="A38:H38"/>
    <mergeCell ref="A40:H40"/>
    <mergeCell ref="A42:H42"/>
    <mergeCell ref="I38:J3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B17AB-C251-4084-A831-484D2A2136FA}">
  <dimension ref="A1:O49"/>
  <sheetViews>
    <sheetView topLeftCell="A33" workbookViewId="0">
      <selection activeCell="I34" sqref="I34"/>
    </sheetView>
  </sheetViews>
  <sheetFormatPr defaultColWidth="0" defaultRowHeight="14.4" customHeight="1" zeroHeight="1" x14ac:dyDescent="0.3"/>
  <cols>
    <col min="1" max="1" width="12.6640625" bestFit="1" customWidth="1"/>
    <col min="2" max="2" width="12.44140625" bestFit="1" customWidth="1"/>
    <col min="3" max="3" width="10.88671875" style="15" bestFit="1" customWidth="1"/>
    <col min="4" max="4" width="11" customWidth="1"/>
    <col min="5" max="5" width="12.44140625" bestFit="1" customWidth="1"/>
    <col min="6" max="6" width="11.88671875" bestFit="1" customWidth="1"/>
    <col min="7" max="7" width="8.77734375" customWidth="1"/>
    <col min="8" max="8" width="27.33203125" customWidth="1"/>
    <col min="9" max="9" width="29.77734375" customWidth="1"/>
    <col min="10" max="10" width="12.88671875" customWidth="1"/>
    <col min="11" max="11" width="15.109375" hidden="1" customWidth="1"/>
    <col min="12" max="12" width="12.88671875" hidden="1" customWidth="1"/>
    <col min="13" max="16384" width="8.88671875" hidden="1"/>
  </cols>
  <sheetData>
    <row r="1" spans="1:15" ht="15" hidden="1" customHeight="1" x14ac:dyDescent="0.3">
      <c r="A1" s="34" t="s">
        <v>0</v>
      </c>
      <c r="B1" s="35">
        <f>I34</f>
        <v>500000</v>
      </c>
      <c r="C1" s="36"/>
      <c r="D1" s="34"/>
      <c r="M1" s="15"/>
    </row>
    <row r="2" spans="1:15" ht="15" hidden="1" customHeight="1" x14ac:dyDescent="0.3">
      <c r="A2" s="34" t="s">
        <v>32</v>
      </c>
      <c r="B2" s="37">
        <v>0.39600000000000002</v>
      </c>
      <c r="C2" s="22"/>
      <c r="D2" s="38"/>
      <c r="K2" s="13"/>
      <c r="M2" s="15"/>
    </row>
    <row r="3" spans="1:15" ht="15" hidden="1" customHeight="1" x14ac:dyDescent="0.3">
      <c r="A3" s="34" t="s">
        <v>33</v>
      </c>
      <c r="B3" s="37">
        <v>0.39600000000000002</v>
      </c>
      <c r="C3" s="22"/>
      <c r="D3" s="38"/>
      <c r="K3" s="13"/>
      <c r="M3" s="15"/>
    </row>
    <row r="4" spans="1:15" ht="15" hidden="1" customHeight="1" x14ac:dyDescent="0.3">
      <c r="A4" s="34" t="s">
        <v>34</v>
      </c>
      <c r="B4" s="37">
        <v>1E-4</v>
      </c>
      <c r="C4" s="22"/>
      <c r="D4" s="38"/>
      <c r="K4" s="13"/>
      <c r="M4" s="15"/>
    </row>
    <row r="5" spans="1:15" ht="15" hidden="1" customHeight="1" x14ac:dyDescent="0.3">
      <c r="A5" s="34" t="s">
        <v>42</v>
      </c>
      <c r="B5" s="35">
        <v>3</v>
      </c>
      <c r="C5" s="22"/>
      <c r="D5" s="38"/>
      <c r="K5" s="13"/>
      <c r="M5" s="15"/>
    </row>
    <row r="6" spans="1:15" ht="15" hidden="1" customHeight="1" x14ac:dyDescent="0.3">
      <c r="A6" s="34" t="s">
        <v>35</v>
      </c>
      <c r="B6" s="37">
        <v>3.3000000000000002E-2</v>
      </c>
      <c r="C6" s="39"/>
      <c r="D6" s="38"/>
      <c r="M6" s="15"/>
    </row>
    <row r="7" spans="1:15" ht="15" hidden="1" customHeight="1" x14ac:dyDescent="0.3">
      <c r="A7" s="34" t="s">
        <v>5</v>
      </c>
      <c r="B7" s="37">
        <v>0</v>
      </c>
      <c r="C7" s="22"/>
      <c r="D7" s="38"/>
      <c r="M7" s="15"/>
    </row>
    <row r="8" spans="1:15" ht="15" hidden="1" customHeight="1" x14ac:dyDescent="0.3">
      <c r="A8" s="34" t="s">
        <v>21</v>
      </c>
      <c r="B8" s="37">
        <v>3.9899999999999998E-2</v>
      </c>
      <c r="C8" s="22">
        <v>0</v>
      </c>
      <c r="D8" s="40" t="s">
        <v>22</v>
      </c>
      <c r="M8" s="15"/>
    </row>
    <row r="9" spans="1:15" ht="15" hidden="1" customHeight="1" x14ac:dyDescent="0.3">
      <c r="A9" s="34" t="s">
        <v>8</v>
      </c>
      <c r="B9" s="37">
        <v>0</v>
      </c>
      <c r="C9" s="22"/>
      <c r="D9" s="38"/>
      <c r="M9" s="15"/>
    </row>
    <row r="10" spans="1:15" ht="14.4" hidden="1" customHeight="1" x14ac:dyDescent="0.3">
      <c r="A10" s="34" t="s">
        <v>30</v>
      </c>
      <c r="B10" s="41">
        <v>0</v>
      </c>
      <c r="C10" s="22"/>
      <c r="D10" s="38"/>
      <c r="M10" s="15"/>
    </row>
    <row r="11" spans="1:15" ht="21" hidden="1" x14ac:dyDescent="0.3">
      <c r="A11" s="42" t="s">
        <v>36</v>
      </c>
      <c r="B11" s="43">
        <f>B2/B14</f>
        <v>1.084931506849315E-3</v>
      </c>
      <c r="C11" s="44"/>
      <c r="D11" s="45"/>
      <c r="K11" s="13"/>
      <c r="M11" s="15"/>
    </row>
    <row r="12" spans="1:15" s="17" customFormat="1" ht="21" hidden="1" x14ac:dyDescent="0.3">
      <c r="A12" s="42" t="s">
        <v>37</v>
      </c>
      <c r="B12" s="43">
        <f>B3/B14</f>
        <v>1.084931506849315E-3</v>
      </c>
      <c r="C12" s="44"/>
      <c r="D12" s="45"/>
      <c r="E12"/>
      <c r="F12"/>
      <c r="G12"/>
      <c r="H12"/>
      <c r="I12"/>
      <c r="J12"/>
      <c r="K12" s="13"/>
      <c r="L12"/>
      <c r="M12" s="15"/>
      <c r="N12"/>
      <c r="O12"/>
    </row>
    <row r="13" spans="1:15" ht="21" hidden="1" x14ac:dyDescent="0.3">
      <c r="A13" s="42" t="s">
        <v>38</v>
      </c>
      <c r="B13" s="46">
        <f>B4/B14</f>
        <v>2.7397260273972602E-7</v>
      </c>
      <c r="C13" s="44"/>
      <c r="D13" s="45"/>
      <c r="K13" s="13"/>
      <c r="M13" s="15"/>
    </row>
    <row r="14" spans="1:15" ht="21" hidden="1" x14ac:dyDescent="0.3">
      <c r="A14" s="42" t="s">
        <v>10</v>
      </c>
      <c r="B14" s="47">
        <f>SUM(B18:B29)</f>
        <v>365</v>
      </c>
      <c r="C14" s="48"/>
      <c r="D14" s="49"/>
      <c r="M14" s="15"/>
    </row>
    <row r="15" spans="1:15" hidden="1" x14ac:dyDescent="0.3">
      <c r="B15" s="14"/>
      <c r="N15" s="15"/>
    </row>
    <row r="16" spans="1:15" ht="74.400000000000006" hidden="1" customHeight="1" x14ac:dyDescent="0.3">
      <c r="A16" s="16" t="s">
        <v>39</v>
      </c>
      <c r="B16" s="16" t="s">
        <v>1</v>
      </c>
      <c r="C16" s="16" t="s">
        <v>12</v>
      </c>
      <c r="D16" s="16" t="s">
        <v>2</v>
      </c>
      <c r="E16" s="16" t="s">
        <v>3</v>
      </c>
      <c r="F16" s="16" t="s">
        <v>4</v>
      </c>
      <c r="G16" s="50" t="s">
        <v>40</v>
      </c>
      <c r="H16" s="16" t="s">
        <v>14</v>
      </c>
      <c r="I16" s="16" t="s">
        <v>9</v>
      </c>
      <c r="J16" s="16" t="s">
        <v>8</v>
      </c>
      <c r="K16" s="16" t="s">
        <v>5</v>
      </c>
      <c r="L16" s="16" t="s">
        <v>15</v>
      </c>
      <c r="M16" s="16" t="s">
        <v>11</v>
      </c>
      <c r="N16" s="16" t="s">
        <v>7</v>
      </c>
      <c r="O16" s="16" t="s">
        <v>31</v>
      </c>
    </row>
    <row r="17" spans="1:15" hidden="1" x14ac:dyDescent="0.3">
      <c r="B17" s="15"/>
      <c r="C17" s="18">
        <v>44197</v>
      </c>
      <c r="D17" s="31">
        <f>(-1)*B1+B1*B8+C8</f>
        <v>-480050</v>
      </c>
      <c r="E17" s="31"/>
      <c r="F17" s="31"/>
      <c r="G17" s="51"/>
      <c r="H17" s="31"/>
      <c r="I17" s="31">
        <f>(B1)*B8+C8</f>
        <v>19950</v>
      </c>
      <c r="J17" s="24"/>
      <c r="K17" s="24"/>
      <c r="L17" s="15"/>
      <c r="M17" s="15"/>
      <c r="N17" s="15"/>
      <c r="O17" s="15"/>
    </row>
    <row r="18" spans="1:15" hidden="1" x14ac:dyDescent="0.3">
      <c r="A18" s="15">
        <v>1</v>
      </c>
      <c r="B18" s="15">
        <v>31</v>
      </c>
      <c r="C18" s="18">
        <v>44228</v>
      </c>
      <c r="D18" s="31">
        <f>E18+F18+I18+J18+K18</f>
        <v>16500</v>
      </c>
      <c r="E18" s="31">
        <f>IF(($B$6*B1-F18-I18-K18)&lt;0,0,($B$6*B1-F18-I18-K18))</f>
        <v>16495.753424657534</v>
      </c>
      <c r="F18" s="31">
        <f>IF(A18&lt;B5,(B13*B1*B18),(IF(A18=B5,(B11*B1*B18),(B12*B1*B18))))</f>
        <v>4.2465753424657535</v>
      </c>
      <c r="G18" s="51">
        <f>IF(A18&lt;B5,($B$11*B1*B18),0)</f>
        <v>16816.438356164381</v>
      </c>
      <c r="H18" s="31">
        <f>B1-E18</f>
        <v>483504.24657534249</v>
      </c>
      <c r="I18" s="31">
        <f>B10</f>
        <v>0</v>
      </c>
      <c r="J18" s="24">
        <f>(-1)*B9*D17</f>
        <v>0</v>
      </c>
      <c r="K18" s="24">
        <f>B1*B7</f>
        <v>0</v>
      </c>
      <c r="L18" s="15"/>
      <c r="M18" s="15"/>
      <c r="N18" s="15"/>
      <c r="O18" s="15"/>
    </row>
    <row r="19" spans="1:15" hidden="1" x14ac:dyDescent="0.3">
      <c r="A19" s="15">
        <v>2</v>
      </c>
      <c r="B19" s="15">
        <v>28</v>
      </c>
      <c r="C19" s="18">
        <v>44256</v>
      </c>
      <c r="D19" s="31">
        <f>E19+F19+I19+J19+K19</f>
        <v>15955.640136986303</v>
      </c>
      <c r="E19" s="31">
        <f t="shared" ref="E19:E28" si="0">IF(($B$6*H18-F19-I19-J19-K19)&lt;0,0,($B$6*H18-F19-I19-J19-K19))</f>
        <v>15951.931063313945</v>
      </c>
      <c r="F19" s="31">
        <f>IF(A19&lt;B5,(B13*H18*B19),(IF(A19=B5,(B11*H18*B19+G18-F18),(B12*H18*B19))))</f>
        <v>3.7090736723587918</v>
      </c>
      <c r="G19" s="51">
        <f>IF(A19&lt;B5,($B$11*H18*B19),0)</f>
        <v>14687.931742540815</v>
      </c>
      <c r="H19" s="31">
        <f t="shared" ref="H19:H29" si="1">H18-E19</f>
        <v>467552.31551202852</v>
      </c>
      <c r="I19" s="31">
        <f t="shared" ref="I19:I29" si="2">$B$10</f>
        <v>0</v>
      </c>
      <c r="J19" s="24">
        <f>+B9*H18</f>
        <v>0</v>
      </c>
      <c r="K19" s="24">
        <f t="shared" ref="K19:K29" si="3">H18*$B$7</f>
        <v>0</v>
      </c>
      <c r="L19" s="15"/>
      <c r="M19" s="15"/>
      <c r="N19" s="15"/>
      <c r="O19" s="15"/>
    </row>
    <row r="20" spans="1:15" hidden="1" x14ac:dyDescent="0.3">
      <c r="A20" s="15">
        <v>3</v>
      </c>
      <c r="B20" s="15">
        <v>31</v>
      </c>
      <c r="C20" s="18">
        <v>44287</v>
      </c>
      <c r="D20" s="31">
        <f t="shared" ref="D20:D28" si="4">E20+F20+I20+J20+K20</f>
        <v>47229.49948288509</v>
      </c>
      <c r="E20" s="31">
        <f t="shared" si="0"/>
        <v>0</v>
      </c>
      <c r="F20" s="31">
        <f>IF(A20&lt;B5,(B13*H19*B20),(IF(A20=B5,(B11*H19*B20+G19+G18),(B12*H19*B20))))</f>
        <v>47229.49948288509</v>
      </c>
      <c r="G20" s="51">
        <f>IF(A20&lt;B5,($B$11*H19*B20),0)</f>
        <v>0</v>
      </c>
      <c r="H20" s="31">
        <f t="shared" si="1"/>
        <v>467552.31551202852</v>
      </c>
      <c r="I20" s="31">
        <f t="shared" si="2"/>
        <v>0</v>
      </c>
      <c r="J20" s="24">
        <f>B9*H19</f>
        <v>0</v>
      </c>
      <c r="K20" s="24">
        <f t="shared" si="3"/>
        <v>0</v>
      </c>
      <c r="L20" s="15"/>
      <c r="M20" s="15"/>
      <c r="N20" s="15"/>
      <c r="O20" s="15"/>
    </row>
    <row r="21" spans="1:15" hidden="1" x14ac:dyDescent="0.3">
      <c r="A21" s="15">
        <v>4</v>
      </c>
      <c r="B21" s="15">
        <v>30</v>
      </c>
      <c r="C21" s="18">
        <v>44317</v>
      </c>
      <c r="D21" s="31">
        <f t="shared" si="4"/>
        <v>15429.226411896941</v>
      </c>
      <c r="E21" s="31">
        <f t="shared" si="0"/>
        <v>211.35926591639691</v>
      </c>
      <c r="F21" s="31">
        <f>IF(A21&lt;B5,(B13*H20*B21),(IF(A21=B5,(B11*H20*B21+G20+G19+G18),(B12*H20*B21))))</f>
        <v>15217.867145980545</v>
      </c>
      <c r="G21" s="51">
        <f>IF(A21&lt;B5,($B$11*H20*B21),0)</f>
        <v>0</v>
      </c>
      <c r="H21" s="31">
        <f t="shared" si="1"/>
        <v>467340.95624611212</v>
      </c>
      <c r="I21" s="31">
        <f t="shared" si="2"/>
        <v>0</v>
      </c>
      <c r="J21" s="24">
        <f>+B9*H20</f>
        <v>0</v>
      </c>
      <c r="K21" s="24">
        <f t="shared" si="3"/>
        <v>0</v>
      </c>
      <c r="L21" s="15"/>
      <c r="M21" s="15"/>
      <c r="N21" s="15"/>
      <c r="O21" s="15"/>
    </row>
    <row r="22" spans="1:15" hidden="1" x14ac:dyDescent="0.3">
      <c r="A22" s="15">
        <v>5</v>
      </c>
      <c r="B22" s="15">
        <v>31</v>
      </c>
      <c r="C22" s="18">
        <v>44348</v>
      </c>
      <c r="D22" s="31">
        <f t="shared" si="4"/>
        <v>15718.02076404732</v>
      </c>
      <c r="E22" s="31">
        <f t="shared" si="0"/>
        <v>0</v>
      </c>
      <c r="F22" s="31">
        <f>IF(A22&lt;B5,(B13*H21*B22),(IF(A22=B5,(B11*H21*B22+G21+G20+G19+G18),(B12*H21*B22))))</f>
        <v>15718.02076404732</v>
      </c>
      <c r="G22" s="51">
        <f>IF(A22&lt;B5,($B$11*H21*B22),0)</f>
        <v>0</v>
      </c>
      <c r="H22" s="31">
        <f t="shared" si="1"/>
        <v>467340.95624611212</v>
      </c>
      <c r="I22" s="31">
        <f t="shared" si="2"/>
        <v>0</v>
      </c>
      <c r="J22" s="24">
        <f>+B9*H21</f>
        <v>0</v>
      </c>
      <c r="K22" s="24">
        <f t="shared" si="3"/>
        <v>0</v>
      </c>
      <c r="L22" s="15"/>
      <c r="M22" s="15"/>
      <c r="N22" s="15"/>
      <c r="O22" s="15"/>
    </row>
    <row r="23" spans="1:15" hidden="1" x14ac:dyDescent="0.3">
      <c r="A23" s="15">
        <v>6</v>
      </c>
      <c r="B23" s="15">
        <v>30</v>
      </c>
      <c r="C23" s="18">
        <v>44378</v>
      </c>
      <c r="D23" s="31">
        <f t="shared" si="4"/>
        <v>15422.251556121701</v>
      </c>
      <c r="E23" s="31">
        <f t="shared" si="0"/>
        <v>211.26371994687361</v>
      </c>
      <c r="F23" s="31">
        <f>IF(A23&lt;B5,(B13*H22*B23),(IF(A23=B5,(B11*H22*B23+G22+G21+G20+G19+G18),(B12*H22*B23))))</f>
        <v>15210.987836174827</v>
      </c>
      <c r="G23" s="51">
        <f>IF(A23&lt;B5,($B$11*H22*B23),0)</f>
        <v>0</v>
      </c>
      <c r="H23" s="31">
        <f t="shared" si="1"/>
        <v>467129.69252616528</v>
      </c>
      <c r="I23" s="31">
        <f t="shared" si="2"/>
        <v>0</v>
      </c>
      <c r="J23" s="24">
        <f>+B9*H22</f>
        <v>0</v>
      </c>
      <c r="K23" s="24">
        <f t="shared" si="3"/>
        <v>0</v>
      </c>
      <c r="L23" s="15"/>
      <c r="M23" s="15"/>
      <c r="N23" s="15"/>
      <c r="O23" s="15"/>
    </row>
    <row r="24" spans="1:15" hidden="1" x14ac:dyDescent="0.3">
      <c r="A24" s="15">
        <v>7</v>
      </c>
      <c r="B24" s="15">
        <v>31</v>
      </c>
      <c r="C24" s="18">
        <v>44409</v>
      </c>
      <c r="D24" s="31">
        <f t="shared" si="4"/>
        <v>15710.915357400561</v>
      </c>
      <c r="E24" s="31">
        <f t="shared" si="0"/>
        <v>0</v>
      </c>
      <c r="F24" s="31">
        <f>IF(A24&lt;B5,(B13*H23*B24),(IF(A24=B5,(B11*H23*B24+G23+G22+G21+G20+G19+G18),(B12*H23*B24))))</f>
        <v>15710.915357400561</v>
      </c>
      <c r="G24" s="51">
        <f>IF(A24&lt;B5,($B$11*H23*B24),0)</f>
        <v>0</v>
      </c>
      <c r="H24" s="31">
        <f t="shared" si="1"/>
        <v>467129.69252616528</v>
      </c>
      <c r="I24" s="31">
        <f t="shared" si="2"/>
        <v>0</v>
      </c>
      <c r="J24" s="24">
        <f>B9*H23</f>
        <v>0</v>
      </c>
      <c r="K24" s="24">
        <f t="shared" si="3"/>
        <v>0</v>
      </c>
      <c r="L24" s="15"/>
      <c r="M24" s="15"/>
      <c r="N24" s="15"/>
      <c r="O24" s="15"/>
    </row>
    <row r="25" spans="1:15" hidden="1" x14ac:dyDescent="0.3">
      <c r="A25" s="15">
        <v>8</v>
      </c>
      <c r="B25" s="15">
        <v>31</v>
      </c>
      <c r="C25" s="18">
        <v>44440</v>
      </c>
      <c r="D25" s="31">
        <f t="shared" si="4"/>
        <v>15710.915357400561</v>
      </c>
      <c r="E25" s="31">
        <f t="shared" si="0"/>
        <v>0</v>
      </c>
      <c r="F25" s="31">
        <f>IF(A25&lt;B5,(B13*H24*B25),(IF(A25=B5,(B11*H24*B25+G24+G23+G22+G21+G20+G19+G18),(B12*H24*B25))))</f>
        <v>15710.915357400561</v>
      </c>
      <c r="G25" s="51">
        <f>IF(A25&lt;B5,($B$11*H24*B25),0)</f>
        <v>0</v>
      </c>
      <c r="H25" s="31">
        <f t="shared" si="1"/>
        <v>467129.69252616528</v>
      </c>
      <c r="I25" s="31">
        <f t="shared" si="2"/>
        <v>0</v>
      </c>
      <c r="J25" s="24">
        <f>+B9*H24</f>
        <v>0</v>
      </c>
      <c r="K25" s="24">
        <f t="shared" si="3"/>
        <v>0</v>
      </c>
      <c r="L25" s="15"/>
      <c r="M25" s="15"/>
      <c r="N25" s="15"/>
      <c r="O25" s="15"/>
    </row>
    <row r="26" spans="1:15" hidden="1" x14ac:dyDescent="0.3">
      <c r="A26" s="15">
        <v>9</v>
      </c>
      <c r="B26" s="15">
        <v>30</v>
      </c>
      <c r="C26" s="18">
        <v>44470</v>
      </c>
      <c r="D26" s="31">
        <f t="shared" si="4"/>
        <v>15415.279853363454</v>
      </c>
      <c r="E26" s="31">
        <f t="shared" si="0"/>
        <v>211.16821716936283</v>
      </c>
      <c r="F26" s="31">
        <f>IF(A26&lt;B5,(B13*H25*B26),(IF(A26=B5,(B11*H25*B26+G25+G24+G23+G22+G21+G20+G19+G18),(B12*H25*B26))))</f>
        <v>15204.111636194091</v>
      </c>
      <c r="G26" s="51">
        <f>IF(A26&lt;B5,($B$11*H25*B26),0)</f>
        <v>0</v>
      </c>
      <c r="H26" s="31">
        <f t="shared" si="1"/>
        <v>466918.52430899593</v>
      </c>
      <c r="I26" s="31">
        <f t="shared" si="2"/>
        <v>0</v>
      </c>
      <c r="J26" s="24">
        <f>+B9*H25</f>
        <v>0</v>
      </c>
      <c r="K26" s="24">
        <f t="shared" si="3"/>
        <v>0</v>
      </c>
      <c r="L26" s="15"/>
      <c r="M26" s="15"/>
      <c r="N26" s="15"/>
      <c r="O26" s="15"/>
    </row>
    <row r="27" spans="1:15" hidden="1" x14ac:dyDescent="0.3">
      <c r="A27" s="15">
        <v>10</v>
      </c>
      <c r="B27" s="15">
        <v>31</v>
      </c>
      <c r="C27" s="18">
        <v>44501</v>
      </c>
      <c r="D27" s="31">
        <f t="shared" si="4"/>
        <v>15703.813162786941</v>
      </c>
      <c r="E27" s="31">
        <f t="shared" si="0"/>
        <v>0</v>
      </c>
      <c r="F27" s="31">
        <f>IF(A27&lt;B5,(B13*H26*B27),(IF(A27=B5,(B11*H26*B27+G26+G25+G24+G23+G22+G21+G20+G19+G18),(B12*H26*B27))))</f>
        <v>15703.813162786941</v>
      </c>
      <c r="G27" s="51">
        <f>IF(A27&lt;B5,($B$11*H26*B27),0)</f>
        <v>0</v>
      </c>
      <c r="H27" s="31">
        <f t="shared" si="1"/>
        <v>466918.52430899593</v>
      </c>
      <c r="I27" s="31">
        <f t="shared" si="2"/>
        <v>0</v>
      </c>
      <c r="J27" s="24">
        <f>+B9*H26</f>
        <v>0</v>
      </c>
      <c r="K27" s="24">
        <f t="shared" si="3"/>
        <v>0</v>
      </c>
      <c r="L27" s="15"/>
      <c r="M27" s="15"/>
      <c r="N27" s="15"/>
      <c r="O27" s="15"/>
    </row>
    <row r="28" spans="1:15" hidden="1" x14ac:dyDescent="0.3">
      <c r="A28" s="15">
        <v>11</v>
      </c>
      <c r="B28" s="15">
        <v>30</v>
      </c>
      <c r="C28" s="18">
        <v>44531</v>
      </c>
      <c r="D28" s="31">
        <f t="shared" si="4"/>
        <v>15408.311302196866</v>
      </c>
      <c r="E28" s="31">
        <f t="shared" si="0"/>
        <v>211.07275756434137</v>
      </c>
      <c r="F28" s="31">
        <f>IF(A28&lt;B5,(B13*H27*B28),(IF(A28=B5,(B11*H27*B28+G27+G26+G25+G24+G23+G22+G21+G20+G19+G18),(B12*H27*B28))))</f>
        <v>15197.238544632524</v>
      </c>
      <c r="G28" s="51">
        <f>IF(A28&lt;B5,($B$11*H27*B28),0)</f>
        <v>0</v>
      </c>
      <c r="H28" s="31">
        <f t="shared" si="1"/>
        <v>466707.45155143156</v>
      </c>
      <c r="I28" s="31">
        <f t="shared" si="2"/>
        <v>0</v>
      </c>
      <c r="J28" s="24">
        <f>B9*H27</f>
        <v>0</v>
      </c>
      <c r="K28" s="24">
        <f t="shared" si="3"/>
        <v>0</v>
      </c>
      <c r="L28" s="15"/>
      <c r="M28" s="15"/>
      <c r="N28" s="15"/>
      <c r="O28" s="15"/>
    </row>
    <row r="29" spans="1:15" s="4" customFormat="1" ht="13.2" hidden="1" customHeight="1" x14ac:dyDescent="0.3">
      <c r="A29" s="15">
        <v>12</v>
      </c>
      <c r="B29" s="15">
        <v>31</v>
      </c>
      <c r="C29" s="18">
        <v>44562</v>
      </c>
      <c r="D29" s="31">
        <f>E29+F29+I29+J29+K29+H29</f>
        <v>482404.16573018598</v>
      </c>
      <c r="E29" s="31">
        <f>H28</f>
        <v>466707.45155143156</v>
      </c>
      <c r="F29" s="31">
        <f>IF(A29&lt;B5,(B13*H28*B29),(IF(A29=B5,(B11*H28*B29+G28+G27+G26+G25+G24+G23+G22+G21+G20+G19+G18),(B12*H28*B29))))</f>
        <v>15696.714178754448</v>
      </c>
      <c r="G29" s="51">
        <f>IF(A29&lt;B5,($B$11*H28*B29),0)</f>
        <v>0</v>
      </c>
      <c r="H29" s="31">
        <f t="shared" si="1"/>
        <v>0</v>
      </c>
      <c r="I29" s="31">
        <f t="shared" si="2"/>
        <v>0</v>
      </c>
      <c r="J29" s="24">
        <f>B9*H28</f>
        <v>0</v>
      </c>
      <c r="K29" s="24">
        <f t="shared" si="3"/>
        <v>0</v>
      </c>
      <c r="L29" s="15"/>
      <c r="M29" s="31"/>
      <c r="N29" s="31"/>
      <c r="O29" s="15"/>
    </row>
    <row r="30" spans="1:15" s="1" customFormat="1" hidden="1" x14ac:dyDescent="0.3">
      <c r="A30"/>
      <c r="B30" s="20" t="s">
        <v>6</v>
      </c>
      <c r="C30" s="20" t="s">
        <v>13</v>
      </c>
      <c r="D30" s="21">
        <f>SUM(D18:D29)</f>
        <v>686608.03911527176</v>
      </c>
      <c r="E30" s="21">
        <f>SUM(E18:E29)</f>
        <v>500000</v>
      </c>
      <c r="F30" s="21">
        <f>SUM(F18:F29)</f>
        <v>186608.03911527176</v>
      </c>
      <c r="G30" s="21"/>
      <c r="H30" s="21" t="s">
        <v>13</v>
      </c>
      <c r="I30" s="21">
        <f>SUM(I17:I29)</f>
        <v>19950</v>
      </c>
      <c r="J30" s="25">
        <f>SUM(J18:J29)</f>
        <v>0</v>
      </c>
      <c r="K30" s="25">
        <f>SUM(K18:K29)</f>
        <v>0</v>
      </c>
      <c r="L30" s="23">
        <f>XIRR(D17:D29,C17:C29)</f>
        <v>0.54779254794120791</v>
      </c>
      <c r="M30" s="21">
        <f>D30+I17</f>
        <v>706558.03911527176</v>
      </c>
      <c r="N30" s="21">
        <f>F30+I30+J30+K30</f>
        <v>206558.03911527176</v>
      </c>
      <c r="O30" s="32">
        <f>(N30/B1)/365</f>
        <v>1.1318248718645027E-3</v>
      </c>
    </row>
    <row r="33" spans="1:11" s="4" customFormat="1" ht="39" customHeight="1" x14ac:dyDescent="0.2">
      <c r="E33" s="5"/>
      <c r="F33" s="5"/>
    </row>
    <row r="34" spans="1:11" s="1" customFormat="1" ht="20.399999999999999" x14ac:dyDescent="0.35">
      <c r="A34" s="55" t="s">
        <v>16</v>
      </c>
      <c r="B34" s="55"/>
      <c r="C34" s="55"/>
      <c r="D34" s="55"/>
      <c r="E34" s="55"/>
      <c r="F34" s="55"/>
      <c r="G34" s="55"/>
      <c r="H34" s="55"/>
      <c r="I34" s="2">
        <v>500000</v>
      </c>
      <c r="J34" s="12" t="s">
        <v>17</v>
      </c>
      <c r="K34" s="4"/>
    </row>
    <row r="35" spans="1:11" s="4" customFormat="1" ht="10.199999999999999" customHeight="1" x14ac:dyDescent="0.3">
      <c r="A35" s="8"/>
      <c r="B35" s="8"/>
      <c r="C35" s="8"/>
      <c r="D35" s="8"/>
      <c r="E35" s="8"/>
      <c r="F35" s="8"/>
      <c r="G35" s="8"/>
      <c r="H35" s="8"/>
      <c r="I35" s="9"/>
      <c r="J35" s="10"/>
    </row>
    <row r="36" spans="1:11" s="1" customFormat="1" ht="17.399999999999999" x14ac:dyDescent="0.3">
      <c r="A36" s="57" t="s">
        <v>18</v>
      </c>
      <c r="B36" s="57"/>
      <c r="C36" s="57"/>
      <c r="D36" s="57"/>
      <c r="E36" s="57"/>
      <c r="F36" s="57"/>
      <c r="G36" s="57"/>
      <c r="H36" s="57"/>
      <c r="I36" s="33">
        <f>B2</f>
        <v>0.39600000000000002</v>
      </c>
      <c r="J36" s="10"/>
      <c r="K36" s="4"/>
    </row>
    <row r="37" spans="1:11" s="4" customFormat="1" ht="10.199999999999999" customHeight="1" x14ac:dyDescent="0.3">
      <c r="A37" s="8"/>
      <c r="B37" s="8"/>
      <c r="C37" s="8"/>
      <c r="D37" s="8"/>
      <c r="E37" s="8"/>
      <c r="F37" s="8"/>
      <c r="G37" s="8"/>
      <c r="H37" s="8"/>
      <c r="I37" s="28"/>
      <c r="J37" s="10"/>
    </row>
    <row r="38" spans="1:11" s="1" customFormat="1" ht="17.399999999999999" hidden="1" x14ac:dyDescent="0.3">
      <c r="A38" s="57" t="s">
        <v>23</v>
      </c>
      <c r="B38" s="57"/>
      <c r="C38" s="57"/>
      <c r="D38" s="57"/>
      <c r="E38" s="57"/>
      <c r="F38" s="57"/>
      <c r="G38" s="57"/>
      <c r="H38" s="57"/>
      <c r="I38" s="60" t="s">
        <v>27</v>
      </c>
      <c r="J38" s="60"/>
      <c r="K38" s="4"/>
    </row>
    <row r="39" spans="1:11" s="4" customFormat="1" ht="9" hidden="1" customHeight="1" x14ac:dyDescent="0.3">
      <c r="A39" s="8"/>
      <c r="B39" s="8"/>
      <c r="C39" s="8"/>
      <c r="D39" s="8"/>
      <c r="E39" s="8"/>
      <c r="F39" s="8"/>
      <c r="G39" s="8"/>
      <c r="H39" s="8"/>
      <c r="I39" s="28"/>
      <c r="J39" s="10"/>
    </row>
    <row r="40" spans="1:11" s="1" customFormat="1" ht="17.399999999999999" x14ac:dyDescent="0.3">
      <c r="A40" s="57" t="s">
        <v>19</v>
      </c>
      <c r="B40" s="57"/>
      <c r="C40" s="57"/>
      <c r="D40" s="57"/>
      <c r="E40" s="57"/>
      <c r="F40" s="57"/>
      <c r="G40" s="57"/>
      <c r="H40" s="57"/>
      <c r="I40" s="26">
        <f>D20</f>
        <v>47229.49948288509</v>
      </c>
      <c r="J40" s="10" t="s">
        <v>17</v>
      </c>
      <c r="K40" s="4"/>
    </row>
    <row r="41" spans="1:11" s="4" customFormat="1" ht="10.199999999999999" customHeight="1" x14ac:dyDescent="0.3">
      <c r="A41" s="8"/>
      <c r="B41" s="8"/>
      <c r="C41" s="8"/>
      <c r="D41" s="8"/>
      <c r="E41" s="8"/>
      <c r="F41" s="8"/>
      <c r="G41" s="8"/>
      <c r="H41" s="8"/>
      <c r="I41" s="27"/>
      <c r="J41" s="10"/>
    </row>
    <row r="42" spans="1:11" s="1" customFormat="1" ht="17.399999999999999" x14ac:dyDescent="0.3">
      <c r="A42" s="57" t="s">
        <v>24</v>
      </c>
      <c r="B42" s="57"/>
      <c r="C42" s="57"/>
      <c r="D42" s="57"/>
      <c r="E42" s="57"/>
      <c r="F42" s="57"/>
      <c r="G42" s="57"/>
      <c r="H42" s="57"/>
      <c r="I42" s="26">
        <f>F30</f>
        <v>186608.03911527176</v>
      </c>
      <c r="J42" s="10" t="s">
        <v>17</v>
      </c>
      <c r="K42" s="4"/>
    </row>
    <row r="43" spans="1:11" s="4" customFormat="1" ht="10.199999999999999" customHeight="1" x14ac:dyDescent="0.3">
      <c r="A43" s="8"/>
      <c r="B43" s="8"/>
      <c r="C43" s="8"/>
      <c r="D43" s="8"/>
      <c r="E43" s="8"/>
      <c r="F43" s="8"/>
      <c r="G43" s="8"/>
      <c r="H43" s="8"/>
      <c r="I43" s="27"/>
      <c r="J43" s="10"/>
    </row>
    <row r="44" spans="1:11" s="1" customFormat="1" ht="17.399999999999999" x14ac:dyDescent="0.3">
      <c r="A44" s="57" t="s">
        <v>25</v>
      </c>
      <c r="B44" s="57"/>
      <c r="C44" s="57"/>
      <c r="D44" s="57"/>
      <c r="E44" s="57"/>
      <c r="F44" s="57"/>
      <c r="G44" s="57"/>
      <c r="H44" s="57"/>
      <c r="I44" s="26">
        <f>D30</f>
        <v>686608.03911527176</v>
      </c>
      <c r="J44" s="10" t="s">
        <v>17</v>
      </c>
      <c r="K44" s="4"/>
    </row>
    <row r="45" spans="1:11" s="4" customFormat="1" ht="10.199999999999999" customHeight="1" x14ac:dyDescent="0.3">
      <c r="A45" s="8"/>
      <c r="B45" s="8"/>
      <c r="C45" s="8"/>
      <c r="D45" s="8"/>
      <c r="E45" s="8"/>
      <c r="F45" s="8"/>
      <c r="G45" s="8"/>
      <c r="H45" s="8"/>
      <c r="I45" s="9"/>
      <c r="J45" s="10"/>
    </row>
    <row r="46" spans="1:11" s="1" customFormat="1" ht="17.399999999999999" x14ac:dyDescent="0.3">
      <c r="A46" s="57" t="s">
        <v>26</v>
      </c>
      <c r="B46" s="57"/>
      <c r="C46" s="57"/>
      <c r="D46" s="57"/>
      <c r="E46" s="57"/>
      <c r="F46" s="57"/>
      <c r="G46" s="57"/>
      <c r="H46" s="57"/>
      <c r="I46" s="3">
        <f>L30</f>
        <v>0.54779254794120791</v>
      </c>
      <c r="J46" s="10"/>
      <c r="K46" s="4"/>
    </row>
    <row r="47" spans="1:11" s="1" customFormat="1" ht="11.4" customHeight="1" x14ac:dyDescent="0.35">
      <c r="A47" s="4"/>
      <c r="B47" s="4"/>
      <c r="C47" s="4"/>
      <c r="D47" s="4"/>
      <c r="E47" s="5"/>
      <c r="F47" s="6"/>
      <c r="G47" s="7"/>
      <c r="H47" s="4"/>
      <c r="I47" s="4"/>
      <c r="J47" s="4"/>
    </row>
    <row r="48" spans="1:11" s="1" customFormat="1" ht="100.95" customHeight="1" x14ac:dyDescent="0.2">
      <c r="A48" s="59" t="s">
        <v>29</v>
      </c>
      <c r="B48" s="59"/>
      <c r="C48" s="59"/>
      <c r="D48" s="59"/>
      <c r="E48" s="59"/>
      <c r="F48" s="59"/>
      <c r="G48" s="59"/>
      <c r="H48" s="59"/>
      <c r="I48" s="59"/>
      <c r="J48" s="59"/>
    </row>
    <row r="49" spans="1:10" s="1" customFormat="1" ht="40.200000000000003" customHeight="1" x14ac:dyDescent="0.2">
      <c r="A49" s="58" t="s">
        <v>20</v>
      </c>
      <c r="B49" s="58"/>
      <c r="C49" s="58"/>
      <c r="D49" s="58"/>
      <c r="E49" s="58"/>
      <c r="F49" s="58"/>
      <c r="G49" s="58"/>
      <c r="H49" s="58"/>
      <c r="I49" s="58"/>
      <c r="J49" s="58"/>
    </row>
  </sheetData>
  <mergeCells count="10">
    <mergeCell ref="A40:H40"/>
    <mergeCell ref="A34:H34"/>
    <mergeCell ref="A36:H36"/>
    <mergeCell ref="A38:H38"/>
    <mergeCell ref="I38:J38"/>
    <mergeCell ref="A42:H42"/>
    <mergeCell ref="A44:H44"/>
    <mergeCell ref="A46:H46"/>
    <mergeCell ref="A48:J48"/>
    <mergeCell ref="A49:J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opLeftCell="A33" zoomScaleNormal="100" workbookViewId="0">
      <selection activeCell="I36" sqref="I36"/>
    </sheetView>
  </sheetViews>
  <sheetFormatPr defaultColWidth="0" defaultRowHeight="14.4" zeroHeight="1" x14ac:dyDescent="0.3"/>
  <cols>
    <col min="1" max="1" width="24.77734375" customWidth="1"/>
    <col min="2" max="2" width="12.44140625" bestFit="1" customWidth="1"/>
    <col min="3" max="3" width="10.88671875" style="15" bestFit="1" customWidth="1"/>
    <col min="4" max="4" width="11" customWidth="1"/>
    <col min="5" max="5" width="12.44140625" bestFit="1" customWidth="1"/>
    <col min="6" max="6" width="11.88671875" bestFit="1" customWidth="1"/>
    <col min="7" max="7" width="9.5546875" customWidth="1"/>
    <col min="8" max="8" width="31.6640625" customWidth="1"/>
    <col min="9" max="9" width="31.21875" customWidth="1"/>
    <col min="10" max="10" width="14.44140625" bestFit="1" customWidth="1"/>
    <col min="11" max="11" width="15.109375" hidden="1" customWidth="1"/>
    <col min="12" max="12" width="12.88671875" hidden="1" customWidth="1"/>
    <col min="13" max="14" width="10" hidden="1" customWidth="1"/>
    <col min="15" max="16384" width="8.88671875" hidden="1"/>
  </cols>
  <sheetData>
    <row r="1" spans="1:15" ht="15" hidden="1" customHeight="1" x14ac:dyDescent="0.3">
      <c r="A1" s="34" t="s">
        <v>0</v>
      </c>
      <c r="B1" s="35">
        <f>I36</f>
        <v>500000</v>
      </c>
      <c r="C1" s="36"/>
      <c r="D1" s="34"/>
      <c r="M1" s="15"/>
    </row>
    <row r="2" spans="1:15" ht="15" hidden="1" customHeight="1" x14ac:dyDescent="0.3">
      <c r="A2" s="34" t="s">
        <v>32</v>
      </c>
      <c r="B2" s="37">
        <v>0.39600000000000002</v>
      </c>
      <c r="C2" s="22"/>
      <c r="D2" s="38"/>
      <c r="K2" s="13"/>
      <c r="M2" s="15"/>
    </row>
    <row r="3" spans="1:15" ht="15" hidden="1" customHeight="1" x14ac:dyDescent="0.3">
      <c r="A3" s="34" t="s">
        <v>33</v>
      </c>
      <c r="B3" s="37">
        <v>0.72</v>
      </c>
      <c r="C3" s="22"/>
      <c r="D3" s="38"/>
      <c r="K3" s="13"/>
      <c r="M3" s="15"/>
    </row>
    <row r="4" spans="1:15" ht="15" hidden="1" customHeight="1" x14ac:dyDescent="0.3">
      <c r="A4" s="34" t="s">
        <v>34</v>
      </c>
      <c r="B4" s="37">
        <v>1E-4</v>
      </c>
      <c r="C4" s="22"/>
      <c r="D4" s="38"/>
      <c r="K4" s="13"/>
      <c r="M4" s="15"/>
    </row>
    <row r="5" spans="1:15" ht="15" hidden="1" customHeight="1" x14ac:dyDescent="0.3">
      <c r="A5" s="34" t="s">
        <v>42</v>
      </c>
      <c r="B5" s="35">
        <v>3</v>
      </c>
      <c r="C5" s="22"/>
      <c r="D5" s="38"/>
      <c r="K5" s="13"/>
      <c r="M5" s="15"/>
    </row>
    <row r="6" spans="1:15" ht="15" hidden="1" customHeight="1" x14ac:dyDescent="0.3">
      <c r="A6" s="34" t="s">
        <v>35</v>
      </c>
      <c r="B6" s="37">
        <v>0.06</v>
      </c>
      <c r="C6" s="39"/>
      <c r="D6" s="38"/>
      <c r="M6" s="15"/>
    </row>
    <row r="7" spans="1:15" ht="15" hidden="1" customHeight="1" x14ac:dyDescent="0.3">
      <c r="A7" s="34" t="s">
        <v>5</v>
      </c>
      <c r="B7" s="37">
        <v>0</v>
      </c>
      <c r="C7" s="22"/>
      <c r="D7" s="38"/>
      <c r="M7" s="15"/>
    </row>
    <row r="8" spans="1:15" ht="15" hidden="1" customHeight="1" x14ac:dyDescent="0.3">
      <c r="A8" s="34" t="s">
        <v>21</v>
      </c>
      <c r="B8" s="37">
        <v>0</v>
      </c>
      <c r="C8" s="22">
        <v>0</v>
      </c>
      <c r="D8" s="40" t="s">
        <v>22</v>
      </c>
      <c r="M8" s="15"/>
    </row>
    <row r="9" spans="1:15" ht="15" hidden="1" customHeight="1" x14ac:dyDescent="0.3">
      <c r="A9" s="34" t="s">
        <v>8</v>
      </c>
      <c r="B9" s="37">
        <v>0</v>
      </c>
      <c r="C9" s="22"/>
      <c r="D9" s="38"/>
      <c r="M9" s="15"/>
    </row>
    <row r="10" spans="1:15" ht="14.4" hidden="1" customHeight="1" x14ac:dyDescent="0.3">
      <c r="A10" s="34" t="s">
        <v>30</v>
      </c>
      <c r="B10" s="41">
        <v>0</v>
      </c>
      <c r="C10" s="22"/>
      <c r="D10" s="38"/>
      <c r="M10" s="15"/>
    </row>
    <row r="11" spans="1:15" ht="21" hidden="1" x14ac:dyDescent="0.3">
      <c r="A11" s="42" t="s">
        <v>36</v>
      </c>
      <c r="B11" s="43">
        <f>B2/B14</f>
        <v>1.084931506849315E-3</v>
      </c>
      <c r="C11" s="44"/>
      <c r="D11" s="45"/>
      <c r="K11" s="13"/>
      <c r="M11" s="15"/>
    </row>
    <row r="12" spans="1:15" s="17" customFormat="1" ht="21" hidden="1" x14ac:dyDescent="0.3">
      <c r="A12" s="42" t="s">
        <v>37</v>
      </c>
      <c r="B12" s="43">
        <f>B3/B14</f>
        <v>1.9726027397260273E-3</v>
      </c>
      <c r="C12" s="44"/>
      <c r="D12" s="45"/>
      <c r="E12"/>
      <c r="F12"/>
      <c r="G12"/>
      <c r="H12"/>
      <c r="I12"/>
      <c r="J12"/>
      <c r="K12" s="13"/>
      <c r="L12"/>
      <c r="M12" s="15"/>
      <c r="N12"/>
      <c r="O12"/>
    </row>
    <row r="13" spans="1:15" ht="21" hidden="1" x14ac:dyDescent="0.3">
      <c r="A13" s="42" t="s">
        <v>38</v>
      </c>
      <c r="B13" s="46">
        <f>B4/B14</f>
        <v>2.7397260273972602E-7</v>
      </c>
      <c r="C13" s="44"/>
      <c r="D13" s="45"/>
      <c r="K13" s="13"/>
      <c r="M13" s="15"/>
    </row>
    <row r="14" spans="1:15" ht="21" hidden="1" x14ac:dyDescent="0.3">
      <c r="A14" s="42" t="s">
        <v>10</v>
      </c>
      <c r="B14" s="47">
        <f>SUM(B18:B29)</f>
        <v>365</v>
      </c>
      <c r="C14" s="48"/>
      <c r="D14" s="49"/>
      <c r="M14" s="15"/>
    </row>
    <row r="15" spans="1:15" hidden="1" x14ac:dyDescent="0.3">
      <c r="B15" s="14"/>
      <c r="N15" s="15"/>
    </row>
    <row r="16" spans="1:15" ht="74.400000000000006" hidden="1" customHeight="1" x14ac:dyDescent="0.3">
      <c r="A16" s="16" t="s">
        <v>39</v>
      </c>
      <c r="B16" s="16" t="s">
        <v>1</v>
      </c>
      <c r="C16" s="16" t="s">
        <v>12</v>
      </c>
      <c r="D16" s="16" t="s">
        <v>2</v>
      </c>
      <c r="E16" s="16" t="s">
        <v>3</v>
      </c>
      <c r="F16" s="16" t="s">
        <v>4</v>
      </c>
      <c r="G16" s="50" t="s">
        <v>40</v>
      </c>
      <c r="H16" s="16" t="s">
        <v>14</v>
      </c>
      <c r="I16" s="16" t="s">
        <v>9</v>
      </c>
      <c r="J16" s="16" t="s">
        <v>8</v>
      </c>
      <c r="K16" s="16" t="s">
        <v>5</v>
      </c>
      <c r="L16" s="16" t="s">
        <v>15</v>
      </c>
      <c r="M16" s="16" t="s">
        <v>11</v>
      </c>
      <c r="N16" s="16" t="s">
        <v>7</v>
      </c>
      <c r="O16" s="16" t="s">
        <v>31</v>
      </c>
    </row>
    <row r="17" spans="1:15" hidden="1" x14ac:dyDescent="0.3">
      <c r="B17" s="15"/>
      <c r="C17" s="18">
        <v>44197</v>
      </c>
      <c r="D17" s="31">
        <f>(-1)*B1+B1*B8+C8</f>
        <v>-500000</v>
      </c>
      <c r="E17" s="31"/>
      <c r="F17" s="31"/>
      <c r="G17" s="51"/>
      <c r="H17" s="31"/>
      <c r="I17" s="31">
        <f>(B1)*B8+C8</f>
        <v>0</v>
      </c>
      <c r="J17" s="24"/>
      <c r="K17" s="24"/>
      <c r="L17" s="15"/>
      <c r="M17" s="15"/>
      <c r="N17" s="15"/>
      <c r="O17" s="15"/>
    </row>
    <row r="18" spans="1:15" hidden="1" x14ac:dyDescent="0.3">
      <c r="A18" s="15">
        <v>1</v>
      </c>
      <c r="B18" s="15">
        <v>31</v>
      </c>
      <c r="C18" s="18">
        <v>44228</v>
      </c>
      <c r="D18" s="31">
        <f>E18+F18+I18+J18+K18</f>
        <v>30000</v>
      </c>
      <c r="E18" s="31">
        <f>IF(($B$6*B1-F18-I18-K18)&lt;0,0,($B$6*B1-F18-I18-K18))</f>
        <v>29995.753424657534</v>
      </c>
      <c r="F18" s="31">
        <f>IF(A18&lt;B5,(B13*B1*B18),(IF(A18=B5,(B11*B1*B18),(B12*B1*B18))))</f>
        <v>4.2465753424657535</v>
      </c>
      <c r="G18" s="51">
        <f>IF(A18&lt;B5,($B$11*B1*B18),0)</f>
        <v>16816.438356164381</v>
      </c>
      <c r="H18" s="31">
        <f>B1-E18</f>
        <v>470004.24657534249</v>
      </c>
      <c r="I18" s="31">
        <f>B10</f>
        <v>0</v>
      </c>
      <c r="J18" s="24">
        <f>(-1)*B9*D17</f>
        <v>0</v>
      </c>
      <c r="K18" s="24">
        <f>B1*B7</f>
        <v>0</v>
      </c>
      <c r="L18" s="15"/>
      <c r="M18" s="15"/>
      <c r="N18" s="15"/>
      <c r="O18" s="15"/>
    </row>
    <row r="19" spans="1:15" hidden="1" x14ac:dyDescent="0.3">
      <c r="A19" s="15">
        <v>2</v>
      </c>
      <c r="B19" s="15">
        <v>28</v>
      </c>
      <c r="C19" s="18">
        <v>44256</v>
      </c>
      <c r="D19" s="31">
        <f>E19+F19+I19+J19+K19</f>
        <v>28200.254794520548</v>
      </c>
      <c r="E19" s="31">
        <f t="shared" ref="E19:E28" si="0">IF(($B$6*H18-F19-I19-J19-K19)&lt;0,0,($B$6*H18-F19-I19-J19-K19))</f>
        <v>28196.649282492024</v>
      </c>
      <c r="F19" s="31">
        <f>IF(A19&lt;B5,(B13*H18*B19),(IF(A19=B5,(B11*H18*B19+G18-F18),(B12*H18*B19))))</f>
        <v>3.6055120285231754</v>
      </c>
      <c r="G19" s="51">
        <f>IF(A19&lt;B5,($B$11*H18*B19),0)</f>
        <v>14277.827632951772</v>
      </c>
      <c r="H19" s="31">
        <f t="shared" ref="H19:H29" si="1">H18-E19</f>
        <v>441807.59729285049</v>
      </c>
      <c r="I19" s="31">
        <f t="shared" ref="I19:I29" si="2">$B$10</f>
        <v>0</v>
      </c>
      <c r="J19" s="24">
        <f>+B9*H18</f>
        <v>0</v>
      </c>
      <c r="K19" s="24">
        <f t="shared" ref="K19:K29" si="3">H18*$B$7</f>
        <v>0</v>
      </c>
      <c r="L19" s="15"/>
      <c r="M19" s="15"/>
      <c r="N19" s="15"/>
      <c r="O19" s="15"/>
    </row>
    <row r="20" spans="1:15" hidden="1" x14ac:dyDescent="0.3">
      <c r="A20" s="15">
        <v>3</v>
      </c>
      <c r="B20" s="15">
        <v>31</v>
      </c>
      <c r="C20" s="18">
        <v>44287</v>
      </c>
      <c r="D20" s="31">
        <f t="shared" ref="D20:D28" si="4">E20+F20+I20+J20+K20</f>
        <v>45953.526439436784</v>
      </c>
      <c r="E20" s="31">
        <f t="shared" si="0"/>
        <v>0</v>
      </c>
      <c r="F20" s="31">
        <f>IF(A20&lt;B5,(B13*H19*B20),(IF(A20=B5,(B11*H19*B20+G19+G18),(B12*H19*B20))))</f>
        <v>45953.526439436784</v>
      </c>
      <c r="G20" s="51">
        <f>IF(A20&lt;B5,($B$11*H19*B20),0)</f>
        <v>0</v>
      </c>
      <c r="H20" s="31">
        <f t="shared" si="1"/>
        <v>441807.59729285049</v>
      </c>
      <c r="I20" s="31">
        <f t="shared" si="2"/>
        <v>0</v>
      </c>
      <c r="J20" s="24">
        <f>B9*H19</f>
        <v>0</v>
      </c>
      <c r="K20" s="24">
        <f t="shared" si="3"/>
        <v>0</v>
      </c>
      <c r="L20" s="15"/>
      <c r="M20" s="15"/>
      <c r="N20" s="15"/>
      <c r="O20" s="15"/>
    </row>
    <row r="21" spans="1:15" hidden="1" x14ac:dyDescent="0.3">
      <c r="A21" s="15">
        <v>4</v>
      </c>
      <c r="B21" s="15">
        <v>30</v>
      </c>
      <c r="C21" s="18">
        <v>44317</v>
      </c>
      <c r="D21" s="31">
        <f t="shared" si="4"/>
        <v>26508.455837571029</v>
      </c>
      <c r="E21" s="31">
        <f t="shared" si="0"/>
        <v>363.12953202152494</v>
      </c>
      <c r="F21" s="31">
        <f>IF(A21&lt;B5,(B13*H20*B21),(IF(A21=B5,(B11*H20*B21+G20+G19+G18),(B12*H20*B21))))</f>
        <v>26145.326305549504</v>
      </c>
      <c r="G21" s="51">
        <f>IF(A21&lt;B5,($B$11*H20*B21),0)</f>
        <v>0</v>
      </c>
      <c r="H21" s="31">
        <f t="shared" si="1"/>
        <v>441444.46776082896</v>
      </c>
      <c r="I21" s="31">
        <f t="shared" si="2"/>
        <v>0</v>
      </c>
      <c r="J21" s="24">
        <f>+B9*H20</f>
        <v>0</v>
      </c>
      <c r="K21" s="24">
        <f t="shared" si="3"/>
        <v>0</v>
      </c>
      <c r="L21" s="15"/>
      <c r="M21" s="15"/>
      <c r="N21" s="15"/>
      <c r="O21" s="15"/>
    </row>
    <row r="22" spans="1:15" hidden="1" x14ac:dyDescent="0.3">
      <c r="A22" s="15">
        <v>5</v>
      </c>
      <c r="B22" s="15">
        <v>31</v>
      </c>
      <c r="C22" s="18">
        <v>44348</v>
      </c>
      <c r="D22" s="31">
        <f t="shared" si="4"/>
        <v>26994.631562799183</v>
      </c>
      <c r="E22" s="31">
        <f t="shared" si="0"/>
        <v>0</v>
      </c>
      <c r="F22" s="31">
        <f>IF(A22&lt;B5,(B13*H21*B22),(IF(A22=B5,(B11*H21*B22+G21+G20+G19+G18),(B12*H21*B22))))</f>
        <v>26994.631562799183</v>
      </c>
      <c r="G22" s="51">
        <f>IF(A22&lt;B5,($B$11*H21*B22),0)</f>
        <v>0</v>
      </c>
      <c r="H22" s="31">
        <f t="shared" si="1"/>
        <v>441444.46776082896</v>
      </c>
      <c r="I22" s="31">
        <f t="shared" si="2"/>
        <v>0</v>
      </c>
      <c r="J22" s="24">
        <f>+B9*H21</f>
        <v>0</v>
      </c>
      <c r="K22" s="24">
        <f t="shared" si="3"/>
        <v>0</v>
      </c>
      <c r="L22" s="15"/>
      <c r="M22" s="15"/>
      <c r="N22" s="15"/>
      <c r="O22" s="15"/>
    </row>
    <row r="23" spans="1:15" hidden="1" x14ac:dyDescent="0.3">
      <c r="A23" s="15">
        <v>6</v>
      </c>
      <c r="B23" s="15">
        <v>30</v>
      </c>
      <c r="C23" s="18">
        <v>44378</v>
      </c>
      <c r="D23" s="31">
        <f t="shared" si="4"/>
        <v>26486.668065649737</v>
      </c>
      <c r="E23" s="31">
        <f t="shared" si="0"/>
        <v>362.83106939246136</v>
      </c>
      <c r="F23" s="31">
        <f>IF(A23&lt;B5,(B13*H22*B23),(IF(A23=B5,(B11*H22*B23+G22+G21+G20+G19+G18),(B12*H22*B23))))</f>
        <v>26123.836996257276</v>
      </c>
      <c r="G23" s="51">
        <f>IF(A23&lt;B5,($B$11*H22*B23),0)</f>
        <v>0</v>
      </c>
      <c r="H23" s="31">
        <f t="shared" si="1"/>
        <v>441081.63669143652</v>
      </c>
      <c r="I23" s="31">
        <f t="shared" si="2"/>
        <v>0</v>
      </c>
      <c r="J23" s="24">
        <f>+B9*H22</f>
        <v>0</v>
      </c>
      <c r="K23" s="24">
        <f t="shared" si="3"/>
        <v>0</v>
      </c>
      <c r="L23" s="15"/>
      <c r="M23" s="15"/>
      <c r="N23" s="15"/>
      <c r="O23" s="15"/>
    </row>
    <row r="24" spans="1:15" hidden="1" x14ac:dyDescent="0.3">
      <c r="A24" s="15">
        <v>7</v>
      </c>
      <c r="B24" s="15">
        <v>31</v>
      </c>
      <c r="C24" s="18">
        <v>44409</v>
      </c>
      <c r="D24" s="31">
        <f t="shared" si="4"/>
        <v>26972.444194391403</v>
      </c>
      <c r="E24" s="31">
        <f t="shared" si="0"/>
        <v>0</v>
      </c>
      <c r="F24" s="31">
        <f>IF(A24&lt;B5,(B13*H23*B24),(IF(A24=B5,(B11*H23*B24+G23+G22+G21+G20+G19+G18),(B12*H23*B24))))</f>
        <v>26972.444194391403</v>
      </c>
      <c r="G24" s="51">
        <f>IF(A24&lt;B5,($B$11*H23*B24),0)</f>
        <v>0</v>
      </c>
      <c r="H24" s="31">
        <f t="shared" si="1"/>
        <v>441081.63669143652</v>
      </c>
      <c r="I24" s="31">
        <f t="shared" si="2"/>
        <v>0</v>
      </c>
      <c r="J24" s="24">
        <f>B9*H23</f>
        <v>0</v>
      </c>
      <c r="K24" s="24">
        <f t="shared" si="3"/>
        <v>0</v>
      </c>
      <c r="L24" s="15"/>
      <c r="M24" s="15"/>
      <c r="N24" s="15"/>
      <c r="O24" s="15"/>
    </row>
    <row r="25" spans="1:15" hidden="1" x14ac:dyDescent="0.3">
      <c r="A25" s="15">
        <v>8</v>
      </c>
      <c r="B25" s="15">
        <v>31</v>
      </c>
      <c r="C25" s="18">
        <v>44440</v>
      </c>
      <c r="D25" s="31">
        <f t="shared" si="4"/>
        <v>26972.444194391403</v>
      </c>
      <c r="E25" s="31">
        <f t="shared" si="0"/>
        <v>0</v>
      </c>
      <c r="F25" s="31">
        <f>IF(A25&lt;B5,(B13*H24*B25),(IF(A25=B5,(B11*H24*B25+G24+G23+G22+G21+G20+G19+G18),(B12*H24*B25))))</f>
        <v>26972.444194391403</v>
      </c>
      <c r="G25" s="51">
        <f>IF(A25&lt;B5,($B$11*H24*B25),0)</f>
        <v>0</v>
      </c>
      <c r="H25" s="31">
        <f t="shared" si="1"/>
        <v>441081.63669143652</v>
      </c>
      <c r="I25" s="31">
        <f t="shared" si="2"/>
        <v>0</v>
      </c>
      <c r="J25" s="24">
        <f>+B9*H24</f>
        <v>0</v>
      </c>
      <c r="K25" s="24">
        <f t="shared" si="3"/>
        <v>0</v>
      </c>
      <c r="L25" s="15"/>
      <c r="M25" s="15"/>
      <c r="N25" s="15"/>
      <c r="O25" s="15"/>
    </row>
    <row r="26" spans="1:15" hidden="1" x14ac:dyDescent="0.3">
      <c r="A26" s="15">
        <v>9</v>
      </c>
      <c r="B26" s="15">
        <v>30</v>
      </c>
      <c r="C26" s="18">
        <v>44470</v>
      </c>
      <c r="D26" s="31">
        <f t="shared" si="4"/>
        <v>26464.89820148619</v>
      </c>
      <c r="E26" s="31">
        <f t="shared" si="0"/>
        <v>362.53285207515364</v>
      </c>
      <c r="F26" s="31">
        <f>IF(A26&lt;B5,(B13*H25*B26),(IF(A26=B5,(B11*H25*B26+G25+G24+G23+G22+G21+G20+G19+G18),(B12*H25*B26))))</f>
        <v>26102.365349411037</v>
      </c>
      <c r="G26" s="51">
        <f>IF(A26&lt;B5,($B$11*H25*B26),0)</f>
        <v>0</v>
      </c>
      <c r="H26" s="31">
        <f t="shared" si="1"/>
        <v>440719.10383936134</v>
      </c>
      <c r="I26" s="31">
        <f t="shared" si="2"/>
        <v>0</v>
      </c>
      <c r="J26" s="24">
        <f>+B9*H25</f>
        <v>0</v>
      </c>
      <c r="K26" s="24">
        <f t="shared" si="3"/>
        <v>0</v>
      </c>
      <c r="L26" s="15"/>
      <c r="M26" s="15"/>
      <c r="N26" s="15"/>
      <c r="O26" s="15"/>
    </row>
    <row r="27" spans="1:15" hidden="1" x14ac:dyDescent="0.3">
      <c r="A27" s="15">
        <v>10</v>
      </c>
      <c r="B27" s="15">
        <v>31</v>
      </c>
      <c r="C27" s="18">
        <v>44501</v>
      </c>
      <c r="D27" s="31">
        <f t="shared" si="4"/>
        <v>26950.275062176835</v>
      </c>
      <c r="E27" s="31">
        <f t="shared" si="0"/>
        <v>0</v>
      </c>
      <c r="F27" s="31">
        <f>IF(A27&lt;B5,(B13*H26*B27),(IF(A27=B5,(B11*H26*B27+G26+G25+G24+G23+G22+G21+G20+G19+G18),(B12*H26*B27))))</f>
        <v>26950.275062176835</v>
      </c>
      <c r="G27" s="51">
        <f>IF(A27&lt;B5,($B$11*H26*B27),0)</f>
        <v>0</v>
      </c>
      <c r="H27" s="31">
        <f t="shared" si="1"/>
        <v>440719.10383936134</v>
      </c>
      <c r="I27" s="31">
        <f t="shared" si="2"/>
        <v>0</v>
      </c>
      <c r="J27" s="24">
        <f>+B9*H26</f>
        <v>0</v>
      </c>
      <c r="K27" s="24">
        <f t="shared" si="3"/>
        <v>0</v>
      </c>
      <c r="L27" s="15"/>
      <c r="M27" s="15"/>
      <c r="N27" s="15"/>
      <c r="O27" s="15"/>
    </row>
    <row r="28" spans="1:15" hidden="1" x14ac:dyDescent="0.3">
      <c r="A28" s="15">
        <v>11</v>
      </c>
      <c r="B28" s="15">
        <v>30</v>
      </c>
      <c r="C28" s="18">
        <v>44531</v>
      </c>
      <c r="D28" s="31">
        <f t="shared" si="4"/>
        <v>26443.146230361679</v>
      </c>
      <c r="E28" s="31">
        <f t="shared" si="0"/>
        <v>362.23487986796681</v>
      </c>
      <c r="F28" s="31">
        <f>IF(A28&lt;B5,(B13*H27*B28),(IF(A28=B5,(B11*H27*B28+G27+G26+G25+G24+G23+G22+G21+G20+G19+G18),(B12*H27*B28))))</f>
        <v>26080.911350493712</v>
      </c>
      <c r="G28" s="51">
        <f>IF(A28&lt;B5,($B$11*H27*B28),0)</f>
        <v>0</v>
      </c>
      <c r="H28" s="31">
        <f t="shared" si="1"/>
        <v>440356.86895949335</v>
      </c>
      <c r="I28" s="31">
        <f t="shared" si="2"/>
        <v>0</v>
      </c>
      <c r="J28" s="24">
        <f>B9*H27</f>
        <v>0</v>
      </c>
      <c r="K28" s="24">
        <f t="shared" si="3"/>
        <v>0</v>
      </c>
      <c r="L28" s="15"/>
      <c r="M28" s="15"/>
      <c r="N28" s="15"/>
      <c r="O28" s="15"/>
    </row>
    <row r="29" spans="1:15" s="4" customFormat="1" ht="60" hidden="1" customHeight="1" x14ac:dyDescent="0.3">
      <c r="A29" s="15">
        <v>12</v>
      </c>
      <c r="B29" s="15">
        <v>31</v>
      </c>
      <c r="C29" s="18">
        <v>44562</v>
      </c>
      <c r="D29" s="31">
        <f>E29+F29+I29+J29+K29+H29</f>
        <v>467284.99311066017</v>
      </c>
      <c r="E29" s="31">
        <f>H28</f>
        <v>440356.86895949335</v>
      </c>
      <c r="F29" s="31">
        <f>IF(A29&lt;B5,(B13*H28*B29),(IF(A29=B5,(B11*H28*B29+G28+G27+G26+G25+G24+G23+G22+G21+G20+G19+G18),(B12*H28*B29))))</f>
        <v>26928.124151166823</v>
      </c>
      <c r="G29" s="51">
        <f>IF(A29&lt;B5,($B$11*H28*B29),0)</f>
        <v>0</v>
      </c>
      <c r="H29" s="31">
        <f t="shared" si="1"/>
        <v>0</v>
      </c>
      <c r="I29" s="31">
        <f t="shared" si="2"/>
        <v>0</v>
      </c>
      <c r="J29" s="24">
        <f>B9*H28</f>
        <v>0</v>
      </c>
      <c r="K29" s="24">
        <f t="shared" si="3"/>
        <v>0</v>
      </c>
      <c r="L29" s="15"/>
      <c r="M29" s="31"/>
      <c r="N29" s="31"/>
      <c r="O29" s="15"/>
    </row>
    <row r="30" spans="1:15" s="1" customFormat="1" hidden="1" x14ac:dyDescent="0.3">
      <c r="A30"/>
      <c r="B30" s="20" t="s">
        <v>6</v>
      </c>
      <c r="C30" s="20" t="s">
        <v>13</v>
      </c>
      <c r="D30" s="21">
        <f>SUM(D18:D29)</f>
        <v>785231.73769344506</v>
      </c>
      <c r="E30" s="21">
        <f>SUM(E18:E29)</f>
        <v>500000</v>
      </c>
      <c r="F30" s="21">
        <f>SUM(F18:F29)</f>
        <v>285231.73769344494</v>
      </c>
      <c r="G30" s="21"/>
      <c r="H30" s="21" t="s">
        <v>13</v>
      </c>
      <c r="I30" s="21">
        <f>SUM(I17:I29)</f>
        <v>0</v>
      </c>
      <c r="J30" s="25">
        <f>SUM(J18:J29)</f>
        <v>0</v>
      </c>
      <c r="K30" s="25">
        <f>SUM(K18:K29)</f>
        <v>0</v>
      </c>
      <c r="L30" s="23">
        <f>XIRR(D17:D29,C17:C29)</f>
        <v>0.81372152566909794</v>
      </c>
      <c r="M30" s="21">
        <f>D30+I17</f>
        <v>785231.73769344506</v>
      </c>
      <c r="N30" s="21">
        <f>F30+I30+J30+K30</f>
        <v>285231.73769344494</v>
      </c>
      <c r="O30" s="32">
        <f>(N30/B1)/365</f>
        <v>1.5629136311969586E-3</v>
      </c>
    </row>
    <row r="31" spans="1:15" s="1" customFormat="1" hidden="1" x14ac:dyDescent="0.3">
      <c r="A31" s="29"/>
      <c r="B31" s="52"/>
      <c r="C31" s="52"/>
      <c r="D31" s="53"/>
      <c r="E31" s="53"/>
      <c r="F31" s="53"/>
      <c r="G31" s="53"/>
      <c r="H31" s="53"/>
      <c r="I31" s="53"/>
      <c r="J31" s="54"/>
      <c r="K31" s="54"/>
      <c r="L31" s="23"/>
      <c r="M31" s="21"/>
      <c r="N31" s="21"/>
      <c r="O31" s="32"/>
    </row>
    <row r="32" spans="1:15" s="1" customFormat="1" hidden="1" x14ac:dyDescent="0.3">
      <c r="A32" s="29"/>
      <c r="B32" s="52"/>
      <c r="C32" s="52"/>
      <c r="D32" s="53"/>
      <c r="E32" s="53"/>
      <c r="F32" s="53"/>
      <c r="G32" s="53"/>
      <c r="H32" s="53"/>
      <c r="I32" s="53"/>
      <c r="J32" s="54"/>
      <c r="K32" s="54"/>
      <c r="L32" s="23"/>
      <c r="M32" s="21"/>
      <c r="N32" s="21"/>
      <c r="O32" s="32"/>
    </row>
    <row r="33" spans="1:15" s="1" customFormat="1" x14ac:dyDescent="0.3">
      <c r="A33" s="29"/>
      <c r="B33" s="52"/>
      <c r="C33" s="52"/>
      <c r="D33" s="53"/>
      <c r="E33" s="53"/>
      <c r="F33" s="53"/>
      <c r="G33" s="53"/>
      <c r="H33" s="53"/>
      <c r="I33" s="53"/>
      <c r="J33" s="54"/>
      <c r="K33" s="54"/>
      <c r="L33" s="23"/>
      <c r="M33" s="21"/>
      <c r="N33" s="21"/>
      <c r="O33" s="32"/>
    </row>
    <row r="34" spans="1:15" s="4" customFormat="1" ht="10.199999999999999" customHeight="1" x14ac:dyDescent="0.3">
      <c r="A34" s="8"/>
      <c r="B34" s="8"/>
      <c r="C34" s="8"/>
      <c r="D34" s="8"/>
      <c r="E34" s="8"/>
      <c r="F34" s="8"/>
      <c r="G34" s="8"/>
      <c r="H34" s="8"/>
      <c r="I34" s="9"/>
      <c r="J34" s="10"/>
    </row>
    <row r="35" spans="1:15" s="4" customFormat="1" ht="16.2" customHeight="1" x14ac:dyDescent="0.3">
      <c r="A35" s="8"/>
      <c r="B35" s="8"/>
      <c r="C35" s="8"/>
      <c r="D35" s="8"/>
      <c r="E35" s="8"/>
      <c r="F35" s="8"/>
      <c r="G35" s="8"/>
      <c r="H35" s="8"/>
      <c r="I35" s="9"/>
      <c r="J35" s="10"/>
    </row>
    <row r="36" spans="1:15" s="4" customFormat="1" ht="22.2" customHeight="1" x14ac:dyDescent="0.35">
      <c r="A36" s="55" t="s">
        <v>16</v>
      </c>
      <c r="B36" s="55"/>
      <c r="C36" s="55"/>
      <c r="D36" s="55"/>
      <c r="E36" s="55"/>
      <c r="F36" s="55"/>
      <c r="G36" s="55"/>
      <c r="H36" s="55"/>
      <c r="I36" s="2">
        <v>500000</v>
      </c>
      <c r="J36" s="12" t="s">
        <v>17</v>
      </c>
    </row>
    <row r="37" spans="1:15" s="4" customFormat="1" ht="11.4" customHeight="1" x14ac:dyDescent="0.3">
      <c r="A37" s="8"/>
      <c r="B37" s="8"/>
      <c r="C37" s="8"/>
      <c r="D37" s="8"/>
      <c r="E37" s="8"/>
      <c r="F37" s="8"/>
      <c r="G37" s="8"/>
      <c r="H37" s="8"/>
      <c r="I37" s="9"/>
      <c r="J37" s="10"/>
    </row>
    <row r="38" spans="1:15" s="1" customFormat="1" ht="17.399999999999999" x14ac:dyDescent="0.3">
      <c r="A38" s="57" t="s">
        <v>18</v>
      </c>
      <c r="B38" s="57"/>
      <c r="C38" s="57"/>
      <c r="D38" s="57"/>
      <c r="E38" s="57"/>
      <c r="F38" s="57"/>
      <c r="G38" s="57"/>
      <c r="H38" s="57"/>
      <c r="I38" s="56" t="s">
        <v>41</v>
      </c>
      <c r="J38" s="56"/>
      <c r="K38" s="4"/>
    </row>
    <row r="39" spans="1:15" s="4" customFormat="1" ht="10.199999999999999" customHeight="1" x14ac:dyDescent="0.3">
      <c r="A39" s="11"/>
      <c r="B39" s="11"/>
      <c r="C39" s="11"/>
      <c r="D39" s="11"/>
      <c r="E39" s="11"/>
      <c r="F39" s="11"/>
      <c r="G39" s="11"/>
      <c r="H39" s="11"/>
      <c r="I39" s="9"/>
      <c r="J39" s="10"/>
    </row>
    <row r="40" spans="1:15" s="1" customFormat="1" ht="17.399999999999999" x14ac:dyDescent="0.3">
      <c r="A40" s="57" t="s">
        <v>19</v>
      </c>
      <c r="B40" s="57"/>
      <c r="C40" s="57"/>
      <c r="D40" s="57"/>
      <c r="E40" s="57"/>
      <c r="F40" s="57"/>
      <c r="G40" s="57"/>
      <c r="H40" s="57"/>
      <c r="I40" s="26">
        <f>D20</f>
        <v>45953.526439436784</v>
      </c>
      <c r="J40" s="10" t="s">
        <v>17</v>
      </c>
      <c r="K40" s="4"/>
    </row>
    <row r="41" spans="1:15" s="4" customFormat="1" ht="10.199999999999999" customHeight="1" x14ac:dyDescent="0.3">
      <c r="A41" s="8"/>
      <c r="B41" s="8"/>
      <c r="C41" s="8"/>
      <c r="D41" s="8"/>
      <c r="E41" s="8"/>
      <c r="F41" s="8"/>
      <c r="G41" s="8"/>
      <c r="H41" s="8"/>
      <c r="I41" s="27"/>
      <c r="J41" s="10"/>
    </row>
    <row r="42" spans="1:15" s="1" customFormat="1" ht="17.399999999999999" x14ac:dyDescent="0.3">
      <c r="A42" s="57" t="s">
        <v>24</v>
      </c>
      <c r="B42" s="57"/>
      <c r="C42" s="57"/>
      <c r="D42" s="57"/>
      <c r="E42" s="57"/>
      <c r="F42" s="57"/>
      <c r="G42" s="57"/>
      <c r="H42" s="57"/>
      <c r="I42" s="26">
        <f>F30</f>
        <v>285231.73769344494</v>
      </c>
      <c r="J42" s="10" t="s">
        <v>17</v>
      </c>
      <c r="K42" s="4"/>
    </row>
    <row r="43" spans="1:15" s="4" customFormat="1" ht="10.199999999999999" customHeight="1" x14ac:dyDescent="0.3">
      <c r="A43" s="8"/>
      <c r="B43" s="8"/>
      <c r="C43" s="8"/>
      <c r="D43" s="8"/>
      <c r="E43" s="8"/>
      <c r="F43" s="8"/>
      <c r="G43" s="8"/>
      <c r="H43" s="8"/>
      <c r="I43" s="27"/>
      <c r="J43" s="10"/>
    </row>
    <row r="44" spans="1:15" s="1" customFormat="1" ht="17.399999999999999" x14ac:dyDescent="0.3">
      <c r="A44" s="57" t="s">
        <v>25</v>
      </c>
      <c r="B44" s="57"/>
      <c r="C44" s="57"/>
      <c r="D44" s="57"/>
      <c r="E44" s="57"/>
      <c r="F44" s="57"/>
      <c r="G44" s="57"/>
      <c r="H44" s="57"/>
      <c r="I44" s="26">
        <f>D30</f>
        <v>785231.73769344506</v>
      </c>
      <c r="J44" s="10" t="s">
        <v>17</v>
      </c>
      <c r="K44" s="4"/>
    </row>
    <row r="45" spans="1:15" s="4" customFormat="1" ht="10.199999999999999" customHeight="1" x14ac:dyDescent="0.3">
      <c r="A45" s="8"/>
      <c r="B45" s="8"/>
      <c r="C45" s="8"/>
      <c r="D45" s="8"/>
      <c r="E45" s="8"/>
      <c r="F45" s="8"/>
      <c r="G45" s="8"/>
      <c r="H45" s="8"/>
      <c r="I45" s="9"/>
      <c r="J45" s="10"/>
    </row>
    <row r="46" spans="1:15" s="1" customFormat="1" ht="17.399999999999999" x14ac:dyDescent="0.3">
      <c r="A46" s="57" t="s">
        <v>26</v>
      </c>
      <c r="B46" s="57"/>
      <c r="C46" s="57"/>
      <c r="D46" s="57"/>
      <c r="E46" s="57"/>
      <c r="F46" s="57"/>
      <c r="G46" s="57"/>
      <c r="H46" s="57"/>
      <c r="I46" s="3">
        <f>L30</f>
        <v>0.81372152566909794</v>
      </c>
      <c r="J46" s="10"/>
      <c r="K46" s="4"/>
    </row>
    <row r="47" spans="1:15" s="1" customFormat="1" ht="9" customHeight="1" x14ac:dyDescent="0.35">
      <c r="A47" s="4"/>
      <c r="B47" s="4"/>
      <c r="C47" s="4"/>
      <c r="D47" s="4"/>
      <c r="E47" s="5"/>
      <c r="F47" s="6"/>
      <c r="G47" s="7"/>
      <c r="H47" s="4"/>
      <c r="I47" s="4"/>
      <c r="J47" s="4"/>
    </row>
    <row r="48" spans="1:15" s="1" customFormat="1" ht="100.95" customHeight="1" x14ac:dyDescent="0.2">
      <c r="A48" s="59" t="s">
        <v>43</v>
      </c>
      <c r="B48" s="59"/>
      <c r="C48" s="59"/>
      <c r="D48" s="59"/>
      <c r="E48" s="59"/>
      <c r="F48" s="59"/>
      <c r="G48" s="59"/>
      <c r="H48" s="59"/>
      <c r="I48" s="59"/>
      <c r="J48" s="59"/>
    </row>
    <row r="49" spans="1:10" s="1" customFormat="1" ht="40.200000000000003" customHeight="1" x14ac:dyDescent="0.2">
      <c r="A49" s="58" t="s">
        <v>20</v>
      </c>
      <c r="B49" s="58"/>
      <c r="C49" s="58"/>
      <c r="D49" s="58"/>
      <c r="E49" s="58"/>
      <c r="F49" s="58"/>
      <c r="G49" s="58"/>
      <c r="H49" s="58"/>
      <c r="I49" s="58"/>
      <c r="J49" s="58"/>
    </row>
    <row r="50" spans="1:10" s="29" customFormat="1" hidden="1" x14ac:dyDescent="0.3">
      <c r="C50" s="30"/>
    </row>
    <row r="51" spans="1:10" s="29" customFormat="1" hidden="1" x14ac:dyDescent="0.3">
      <c r="C51" s="30"/>
    </row>
  </sheetData>
  <sheetProtection algorithmName="SHA-512" hashValue="1UmpigzgUkGL52qi9A07niEKab+iOwQIoL/3wCWLQ94QQ/V9280DD1maNUrx8i18ESl1Z/Ijap162hD4zDM68w==" saltValue="nSnFpz7X7y6cLzaB2KVX5w==" spinCount="100000" sheet="1" selectLockedCells="1"/>
  <mergeCells count="9">
    <mergeCell ref="A36:H36"/>
    <mergeCell ref="I38:J38"/>
    <mergeCell ref="A38:H38"/>
    <mergeCell ref="A49:J49"/>
    <mergeCell ref="A48:J48"/>
    <mergeCell ref="A40:H40"/>
    <mergeCell ref="A42:H42"/>
    <mergeCell ref="A44:H44"/>
    <mergeCell ref="A46:H4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C66AC-8F2E-4C1D-A2B4-EDF762E8174D}">
  <dimension ref="A1:O49"/>
  <sheetViews>
    <sheetView topLeftCell="A33" zoomScaleNormal="100" workbookViewId="0">
      <selection activeCell="I34" sqref="I34"/>
    </sheetView>
  </sheetViews>
  <sheetFormatPr defaultColWidth="0" defaultRowHeight="14.4" customHeight="1" zeroHeight="1" x14ac:dyDescent="0.3"/>
  <cols>
    <col min="1" max="1" width="24.77734375" customWidth="1"/>
    <col min="2" max="2" width="12.44140625" bestFit="1" customWidth="1"/>
    <col min="3" max="3" width="10.88671875" style="15" bestFit="1" customWidth="1"/>
    <col min="4" max="4" width="11" customWidth="1"/>
    <col min="5" max="5" width="12.44140625" bestFit="1" customWidth="1"/>
    <col min="6" max="6" width="11.88671875" bestFit="1" customWidth="1"/>
    <col min="7" max="7" width="9.109375" customWidth="1"/>
    <col min="8" max="8" width="31.6640625" customWidth="1"/>
    <col min="9" max="9" width="31.21875" customWidth="1"/>
    <col min="10" max="10" width="14.44140625" bestFit="1" customWidth="1"/>
    <col min="11" max="11" width="15.109375" hidden="1" customWidth="1"/>
    <col min="12" max="12" width="12.88671875" hidden="1" customWidth="1"/>
    <col min="13" max="16384" width="8.88671875" hidden="1"/>
  </cols>
  <sheetData>
    <row r="1" spans="1:15" ht="15" hidden="1" customHeight="1" x14ac:dyDescent="0.3">
      <c r="A1" s="34" t="s">
        <v>0</v>
      </c>
      <c r="B1" s="35">
        <f>I34</f>
        <v>400000</v>
      </c>
      <c r="C1" s="36"/>
      <c r="D1" s="34"/>
      <c r="M1" s="15"/>
    </row>
    <row r="2" spans="1:15" ht="15" hidden="1" customHeight="1" x14ac:dyDescent="0.3">
      <c r="A2" s="34" t="s">
        <v>32</v>
      </c>
      <c r="B2" s="37">
        <v>0.39600000000000002</v>
      </c>
      <c r="C2" s="22"/>
      <c r="D2" s="38"/>
      <c r="K2" s="13"/>
      <c r="M2" s="15"/>
    </row>
    <row r="3" spans="1:15" ht="15" hidden="1" customHeight="1" x14ac:dyDescent="0.3">
      <c r="A3" s="34" t="s">
        <v>33</v>
      </c>
      <c r="B3" s="37">
        <v>0.72</v>
      </c>
      <c r="C3" s="22"/>
      <c r="D3" s="38"/>
      <c r="K3" s="13"/>
      <c r="M3" s="15"/>
    </row>
    <row r="4" spans="1:15" ht="15" hidden="1" customHeight="1" x14ac:dyDescent="0.3">
      <c r="A4" s="34" t="s">
        <v>34</v>
      </c>
      <c r="B4" s="37">
        <v>1E-4</v>
      </c>
      <c r="C4" s="22"/>
      <c r="D4" s="38"/>
      <c r="K4" s="13"/>
      <c r="M4" s="15"/>
    </row>
    <row r="5" spans="1:15" ht="15" hidden="1" customHeight="1" x14ac:dyDescent="0.3">
      <c r="A5" s="34" t="s">
        <v>42</v>
      </c>
      <c r="B5" s="35">
        <v>3</v>
      </c>
      <c r="C5" s="22"/>
      <c r="D5" s="38"/>
      <c r="K5" s="13"/>
      <c r="M5" s="15"/>
    </row>
    <row r="6" spans="1:15" ht="15" hidden="1" customHeight="1" x14ac:dyDescent="0.3">
      <c r="A6" s="34" t="s">
        <v>35</v>
      </c>
      <c r="B6" s="37">
        <v>0.06</v>
      </c>
      <c r="C6" s="39"/>
      <c r="D6" s="38"/>
      <c r="M6" s="15"/>
    </row>
    <row r="7" spans="1:15" ht="15" hidden="1" customHeight="1" x14ac:dyDescent="0.3">
      <c r="A7" s="34" t="s">
        <v>5</v>
      </c>
      <c r="B7" s="37">
        <v>0</v>
      </c>
      <c r="C7" s="22"/>
      <c r="D7" s="38"/>
      <c r="M7" s="15"/>
    </row>
    <row r="8" spans="1:15" ht="15" hidden="1" customHeight="1" x14ac:dyDescent="0.3">
      <c r="A8" s="34" t="s">
        <v>21</v>
      </c>
      <c r="B8" s="37">
        <v>3.9899999999999998E-2</v>
      </c>
      <c r="C8" s="22">
        <v>0</v>
      </c>
      <c r="D8" s="40" t="s">
        <v>22</v>
      </c>
      <c r="M8" s="15"/>
    </row>
    <row r="9" spans="1:15" ht="15" hidden="1" customHeight="1" x14ac:dyDescent="0.3">
      <c r="A9" s="34" t="s">
        <v>8</v>
      </c>
      <c r="B9" s="37">
        <v>0</v>
      </c>
      <c r="C9" s="22"/>
      <c r="D9" s="38"/>
      <c r="M9" s="15"/>
    </row>
    <row r="10" spans="1:15" ht="14.4" hidden="1" customHeight="1" x14ac:dyDescent="0.3">
      <c r="A10" s="34" t="s">
        <v>30</v>
      </c>
      <c r="B10" s="41">
        <v>0</v>
      </c>
      <c r="C10" s="22"/>
      <c r="D10" s="38"/>
      <c r="M10" s="15"/>
    </row>
    <row r="11" spans="1:15" ht="21" hidden="1" x14ac:dyDescent="0.3">
      <c r="A11" s="42" t="s">
        <v>36</v>
      </c>
      <c r="B11" s="43">
        <f>B2/B14</f>
        <v>1.084931506849315E-3</v>
      </c>
      <c r="C11" s="44"/>
      <c r="D11" s="45"/>
      <c r="K11" s="13"/>
      <c r="M11" s="15"/>
    </row>
    <row r="12" spans="1:15" s="17" customFormat="1" ht="21" hidden="1" x14ac:dyDescent="0.3">
      <c r="A12" s="42" t="s">
        <v>37</v>
      </c>
      <c r="B12" s="43">
        <f>B3/B14</f>
        <v>1.9726027397260273E-3</v>
      </c>
      <c r="C12" s="44"/>
      <c r="D12" s="45"/>
      <c r="E12"/>
      <c r="F12"/>
      <c r="G12"/>
      <c r="H12"/>
      <c r="I12"/>
      <c r="J12"/>
      <c r="K12" s="13"/>
      <c r="L12"/>
      <c r="M12" s="15"/>
      <c r="N12"/>
      <c r="O12"/>
    </row>
    <row r="13" spans="1:15" ht="21" hidden="1" x14ac:dyDescent="0.3">
      <c r="A13" s="42" t="s">
        <v>38</v>
      </c>
      <c r="B13" s="46">
        <f>B4/B14</f>
        <v>2.7397260273972602E-7</v>
      </c>
      <c r="C13" s="44"/>
      <c r="D13" s="45"/>
      <c r="K13" s="13"/>
      <c r="M13" s="15"/>
    </row>
    <row r="14" spans="1:15" ht="21" hidden="1" x14ac:dyDescent="0.3">
      <c r="A14" s="42" t="s">
        <v>10</v>
      </c>
      <c r="B14" s="47">
        <f>SUM(B18:B29)</f>
        <v>365</v>
      </c>
      <c r="C14" s="48"/>
      <c r="D14" s="49"/>
      <c r="M14" s="15"/>
    </row>
    <row r="15" spans="1:15" hidden="1" x14ac:dyDescent="0.3">
      <c r="B15" s="14"/>
      <c r="N15" s="15"/>
    </row>
    <row r="16" spans="1:15" ht="74.400000000000006" hidden="1" customHeight="1" x14ac:dyDescent="0.3">
      <c r="A16" s="16" t="s">
        <v>39</v>
      </c>
      <c r="B16" s="16" t="s">
        <v>1</v>
      </c>
      <c r="C16" s="16" t="s">
        <v>12</v>
      </c>
      <c r="D16" s="16" t="s">
        <v>2</v>
      </c>
      <c r="E16" s="16" t="s">
        <v>3</v>
      </c>
      <c r="F16" s="16" t="s">
        <v>4</v>
      </c>
      <c r="G16" s="50" t="s">
        <v>40</v>
      </c>
      <c r="H16" s="16" t="s">
        <v>14</v>
      </c>
      <c r="I16" s="16" t="s">
        <v>9</v>
      </c>
      <c r="J16" s="16" t="s">
        <v>8</v>
      </c>
      <c r="K16" s="16" t="s">
        <v>5</v>
      </c>
      <c r="L16" s="16" t="s">
        <v>15</v>
      </c>
      <c r="M16" s="16" t="s">
        <v>11</v>
      </c>
      <c r="N16" s="16" t="s">
        <v>7</v>
      </c>
      <c r="O16" s="16" t="s">
        <v>31</v>
      </c>
    </row>
    <row r="17" spans="1:15" hidden="1" x14ac:dyDescent="0.3">
      <c r="B17" s="15"/>
      <c r="C17" s="18">
        <v>44197</v>
      </c>
      <c r="D17" s="31">
        <f>(-1)*B1+B1*B8+C8</f>
        <v>-384040</v>
      </c>
      <c r="E17" s="31"/>
      <c r="F17" s="31"/>
      <c r="G17" s="51"/>
      <c r="H17" s="31"/>
      <c r="I17" s="31">
        <f>(B1)*B8+C8</f>
        <v>15960</v>
      </c>
      <c r="J17" s="24"/>
      <c r="K17" s="24"/>
      <c r="L17" s="15"/>
      <c r="M17" s="15"/>
      <c r="N17" s="15"/>
      <c r="O17" s="15"/>
    </row>
    <row r="18" spans="1:15" hidden="1" x14ac:dyDescent="0.3">
      <c r="A18" s="15">
        <v>1</v>
      </c>
      <c r="B18" s="15">
        <v>31</v>
      </c>
      <c r="C18" s="18">
        <v>44228</v>
      </c>
      <c r="D18" s="31">
        <f>E18+F18+I18+J18+K18</f>
        <v>24000</v>
      </c>
      <c r="E18" s="31">
        <f>IF(($B$6*B1-F18-I18-K18)&lt;0,0,($B$6*B1-F18-I18-K18))</f>
        <v>23996.602739726026</v>
      </c>
      <c r="F18" s="31">
        <f>IF(A18&lt;B5,(B13*B1*B18),(IF(A18=B5,(B11*B1*B18),(B12*B1*B18))))</f>
        <v>3.3972602739726026</v>
      </c>
      <c r="G18" s="51">
        <f>IF(A18&lt;B5,($B$11*B1*B18),0)</f>
        <v>13453.150684931506</v>
      </c>
      <c r="H18" s="31">
        <f>B1-E18</f>
        <v>376003.39726027398</v>
      </c>
      <c r="I18" s="31">
        <f>B10</f>
        <v>0</v>
      </c>
      <c r="J18" s="24">
        <f>(-1)*B9*D17</f>
        <v>0</v>
      </c>
      <c r="K18" s="24">
        <f>B1*B7</f>
        <v>0</v>
      </c>
      <c r="L18" s="15"/>
      <c r="M18" s="15"/>
      <c r="N18" s="15"/>
      <c r="O18" s="15"/>
    </row>
    <row r="19" spans="1:15" hidden="1" x14ac:dyDescent="0.3">
      <c r="A19" s="15">
        <v>2</v>
      </c>
      <c r="B19" s="15">
        <v>28</v>
      </c>
      <c r="C19" s="18">
        <v>44256</v>
      </c>
      <c r="D19" s="31">
        <f>E19+F19+I19+J19+K19</f>
        <v>22560.203835616438</v>
      </c>
      <c r="E19" s="31">
        <f t="shared" ref="E19:E28" si="0">IF(($B$6*H18-F19-I19-J19-K19)&lt;0,0,($B$6*H18-F19-I19-J19-K19))</f>
        <v>22557.319425993621</v>
      </c>
      <c r="F19" s="31">
        <f>IF(A19&lt;B5,(B13*H18*B19),(IF(A19=B5,(B11*H18*B19+G18-F18),(B12*H18*B19))))</f>
        <v>2.8844096228185401</v>
      </c>
      <c r="G19" s="51">
        <f>IF(A19&lt;B5,($B$11*H18*B19),0)</f>
        <v>11422.262106361419</v>
      </c>
      <c r="H19" s="31">
        <f t="shared" ref="H19:H29" si="1">H18-E19</f>
        <v>353446.07783428038</v>
      </c>
      <c r="I19" s="31">
        <f t="shared" ref="I19:I29" si="2">$B$10</f>
        <v>0</v>
      </c>
      <c r="J19" s="24">
        <f>+B9*H18</f>
        <v>0</v>
      </c>
      <c r="K19" s="24">
        <f t="shared" ref="K19:K29" si="3">H18*$B$7</f>
        <v>0</v>
      </c>
      <c r="L19" s="15"/>
      <c r="M19" s="15"/>
      <c r="N19" s="15"/>
      <c r="O19" s="15"/>
    </row>
    <row r="20" spans="1:15" hidden="1" x14ac:dyDescent="0.3">
      <c r="A20" s="15">
        <v>3</v>
      </c>
      <c r="B20" s="15">
        <v>31</v>
      </c>
      <c r="C20" s="18">
        <v>44287</v>
      </c>
      <c r="D20" s="31">
        <f t="shared" ref="D20:D28" si="4">E20+F20+I20+J20+K20</f>
        <v>36762.821151549433</v>
      </c>
      <c r="E20" s="31">
        <f t="shared" si="0"/>
        <v>0</v>
      </c>
      <c r="F20" s="31">
        <f>IF(A20&lt;B5,(B13*H19*B20),(IF(A20=B5,(B11*H19*B20+G19+G18),(B12*H19*B20))))</f>
        <v>36762.821151549433</v>
      </c>
      <c r="G20" s="51">
        <f>IF(A20&lt;B5,($B$11*H19*B20),0)</f>
        <v>0</v>
      </c>
      <c r="H20" s="31">
        <f t="shared" si="1"/>
        <v>353446.07783428038</v>
      </c>
      <c r="I20" s="31">
        <f t="shared" si="2"/>
        <v>0</v>
      </c>
      <c r="J20" s="24">
        <f>B9*H19</f>
        <v>0</v>
      </c>
      <c r="K20" s="24">
        <f t="shared" si="3"/>
        <v>0</v>
      </c>
      <c r="L20" s="15"/>
      <c r="M20" s="15"/>
      <c r="N20" s="15"/>
      <c r="O20" s="15"/>
    </row>
    <row r="21" spans="1:15" hidden="1" x14ac:dyDescent="0.3">
      <c r="A21" s="15">
        <v>4</v>
      </c>
      <c r="B21" s="15">
        <v>30</v>
      </c>
      <c r="C21" s="18">
        <v>44317</v>
      </c>
      <c r="D21" s="31">
        <f t="shared" si="4"/>
        <v>21206.764670056822</v>
      </c>
      <c r="E21" s="31">
        <f t="shared" si="0"/>
        <v>290.50362561721704</v>
      </c>
      <c r="F21" s="31">
        <f>IF(A21&lt;B5,(B13*H20*B21),(IF(A21=B5,(B11*H20*B21+G20+G19+G18),(B12*H20*B21))))</f>
        <v>20916.261044439605</v>
      </c>
      <c r="G21" s="51">
        <f>IF(A21&lt;B5,($B$11*H20*B21),0)</f>
        <v>0</v>
      </c>
      <c r="H21" s="31">
        <f t="shared" si="1"/>
        <v>353155.57420866319</v>
      </c>
      <c r="I21" s="31">
        <f t="shared" si="2"/>
        <v>0</v>
      </c>
      <c r="J21" s="24">
        <f>+B9*H20</f>
        <v>0</v>
      </c>
      <c r="K21" s="24">
        <f t="shared" si="3"/>
        <v>0</v>
      </c>
      <c r="L21" s="15"/>
      <c r="M21" s="15"/>
      <c r="N21" s="15"/>
      <c r="O21" s="15"/>
    </row>
    <row r="22" spans="1:15" hidden="1" x14ac:dyDescent="0.3">
      <c r="A22" s="15">
        <v>5</v>
      </c>
      <c r="B22" s="15">
        <v>31</v>
      </c>
      <c r="C22" s="18">
        <v>44348</v>
      </c>
      <c r="D22" s="31">
        <f t="shared" si="4"/>
        <v>21595.705250239349</v>
      </c>
      <c r="E22" s="31">
        <f t="shared" si="0"/>
        <v>0</v>
      </c>
      <c r="F22" s="31">
        <f>IF(A22&lt;B5,(B13*H21*B22),(IF(A22=B5,(B11*H21*B22+G21+G20+G19+G18),(B12*H21*B22))))</f>
        <v>21595.705250239349</v>
      </c>
      <c r="G22" s="51">
        <f>IF(A22&lt;B5,($B$11*H21*B22),0)</f>
        <v>0</v>
      </c>
      <c r="H22" s="31">
        <f t="shared" si="1"/>
        <v>353155.57420866319</v>
      </c>
      <c r="I22" s="31">
        <f t="shared" si="2"/>
        <v>0</v>
      </c>
      <c r="J22" s="24">
        <f>+B9*H21</f>
        <v>0</v>
      </c>
      <c r="K22" s="24">
        <f t="shared" si="3"/>
        <v>0</v>
      </c>
      <c r="L22" s="15"/>
      <c r="M22" s="15"/>
      <c r="N22" s="15"/>
      <c r="O22" s="15"/>
    </row>
    <row r="23" spans="1:15" hidden="1" x14ac:dyDescent="0.3">
      <c r="A23" s="15">
        <v>6</v>
      </c>
      <c r="B23" s="15">
        <v>30</v>
      </c>
      <c r="C23" s="18">
        <v>44378</v>
      </c>
      <c r="D23" s="31">
        <f t="shared" si="4"/>
        <v>21189.33445251979</v>
      </c>
      <c r="E23" s="31">
        <f t="shared" si="0"/>
        <v>290.26485551396763</v>
      </c>
      <c r="F23" s="31">
        <f>IF(A23&lt;B5,(B13*H22*B23),(IF(A23=B5,(B11*H22*B23+G22+G21+G20+G19+G18),(B12*H22*B23))))</f>
        <v>20899.069597005822</v>
      </c>
      <c r="G23" s="51">
        <f>IF(A23&lt;B5,($B$11*H22*B23),0)</f>
        <v>0</v>
      </c>
      <c r="H23" s="31">
        <f t="shared" si="1"/>
        <v>352865.3093531492</v>
      </c>
      <c r="I23" s="31">
        <f t="shared" si="2"/>
        <v>0</v>
      </c>
      <c r="J23" s="24">
        <f>+B9*H22</f>
        <v>0</v>
      </c>
      <c r="K23" s="24">
        <f t="shared" si="3"/>
        <v>0</v>
      </c>
      <c r="L23" s="15"/>
      <c r="M23" s="15"/>
      <c r="N23" s="15"/>
      <c r="O23" s="15"/>
    </row>
    <row r="24" spans="1:15" hidden="1" x14ac:dyDescent="0.3">
      <c r="A24" s="15">
        <v>7</v>
      </c>
      <c r="B24" s="15">
        <v>31</v>
      </c>
      <c r="C24" s="18">
        <v>44409</v>
      </c>
      <c r="D24" s="31">
        <f t="shared" si="4"/>
        <v>21577.955355513124</v>
      </c>
      <c r="E24" s="31">
        <f t="shared" si="0"/>
        <v>0</v>
      </c>
      <c r="F24" s="31">
        <f>IF(A24&lt;B5,(B13*H23*B24),(IF(A24=B5,(B11*H23*B24+G23+G22+G21+G20+G19+G18),(B12*H23*B24))))</f>
        <v>21577.955355513124</v>
      </c>
      <c r="G24" s="51">
        <f>IF(A24&lt;B5,($B$11*H23*B24),0)</f>
        <v>0</v>
      </c>
      <c r="H24" s="31">
        <f t="shared" si="1"/>
        <v>352865.3093531492</v>
      </c>
      <c r="I24" s="31">
        <f t="shared" si="2"/>
        <v>0</v>
      </c>
      <c r="J24" s="24">
        <f>B9*H23</f>
        <v>0</v>
      </c>
      <c r="K24" s="24">
        <f t="shared" si="3"/>
        <v>0</v>
      </c>
      <c r="L24" s="15"/>
      <c r="M24" s="15"/>
      <c r="N24" s="15"/>
      <c r="O24" s="15"/>
    </row>
    <row r="25" spans="1:15" hidden="1" x14ac:dyDescent="0.3">
      <c r="A25" s="15">
        <v>8</v>
      </c>
      <c r="B25" s="15">
        <v>31</v>
      </c>
      <c r="C25" s="18">
        <v>44440</v>
      </c>
      <c r="D25" s="31">
        <f t="shared" si="4"/>
        <v>21577.955355513124</v>
      </c>
      <c r="E25" s="31">
        <f t="shared" si="0"/>
        <v>0</v>
      </c>
      <c r="F25" s="31">
        <f>IF(A25&lt;B5,(B13*H24*B25),(IF(A25=B5,(B11*H24*B25+G24+G23+G22+G21+G20+G19+G18),(B12*H24*B25))))</f>
        <v>21577.955355513124</v>
      </c>
      <c r="G25" s="51">
        <f>IF(A25&lt;B5,($B$11*H24*B25),0)</f>
        <v>0</v>
      </c>
      <c r="H25" s="31">
        <f t="shared" si="1"/>
        <v>352865.3093531492</v>
      </c>
      <c r="I25" s="31">
        <f t="shared" si="2"/>
        <v>0</v>
      </c>
      <c r="J25" s="24">
        <f>+B9*H24</f>
        <v>0</v>
      </c>
      <c r="K25" s="24">
        <f t="shared" si="3"/>
        <v>0</v>
      </c>
      <c r="L25" s="15"/>
      <c r="M25" s="15"/>
      <c r="N25" s="15"/>
      <c r="O25" s="15"/>
    </row>
    <row r="26" spans="1:15" hidden="1" x14ac:dyDescent="0.3">
      <c r="A26" s="15">
        <v>9</v>
      </c>
      <c r="B26" s="15">
        <v>30</v>
      </c>
      <c r="C26" s="18">
        <v>44470</v>
      </c>
      <c r="D26" s="31">
        <f t="shared" si="4"/>
        <v>21171.918561188952</v>
      </c>
      <c r="E26" s="31">
        <f t="shared" si="0"/>
        <v>290.02628166012073</v>
      </c>
      <c r="F26" s="31">
        <f>IF(A26&lt;B5,(B13*H25*B26),(IF(A26=B5,(B11*H25*B26+G25+G24+G23+G22+G21+G20+G19+G18),(B12*H25*B26))))</f>
        <v>20881.892279528831</v>
      </c>
      <c r="G26" s="51">
        <f>IF(A26&lt;B5,($B$11*H25*B26),0)</f>
        <v>0</v>
      </c>
      <c r="H26" s="31">
        <f t="shared" si="1"/>
        <v>352575.28307148907</v>
      </c>
      <c r="I26" s="31">
        <f t="shared" si="2"/>
        <v>0</v>
      </c>
      <c r="J26" s="24">
        <f>+B9*H25</f>
        <v>0</v>
      </c>
      <c r="K26" s="24">
        <f t="shared" si="3"/>
        <v>0</v>
      </c>
      <c r="L26" s="15"/>
      <c r="M26" s="15"/>
      <c r="N26" s="15"/>
      <c r="O26" s="15"/>
    </row>
    <row r="27" spans="1:15" hidden="1" x14ac:dyDescent="0.3">
      <c r="A27" s="15">
        <v>10</v>
      </c>
      <c r="B27" s="15">
        <v>31</v>
      </c>
      <c r="C27" s="18">
        <v>44501</v>
      </c>
      <c r="D27" s="31">
        <f t="shared" si="4"/>
        <v>21560.220049741471</v>
      </c>
      <c r="E27" s="31">
        <f t="shared" si="0"/>
        <v>0</v>
      </c>
      <c r="F27" s="31">
        <f>IF(A27&lt;B5,(B13*H26*B27),(IF(A27=B5,(B11*H26*B27+G26+G25+G24+G23+G22+G21+G20+G19+G18),(B12*H26*B27))))</f>
        <v>21560.220049741471</v>
      </c>
      <c r="G27" s="51">
        <f>IF(A27&lt;B5,($B$11*H26*B27),0)</f>
        <v>0</v>
      </c>
      <c r="H27" s="31">
        <f t="shared" si="1"/>
        <v>352575.28307148907</v>
      </c>
      <c r="I27" s="31">
        <f t="shared" si="2"/>
        <v>0</v>
      </c>
      <c r="J27" s="24">
        <f>+B9*H26</f>
        <v>0</v>
      </c>
      <c r="K27" s="24">
        <f t="shared" si="3"/>
        <v>0</v>
      </c>
      <c r="L27" s="15"/>
      <c r="M27" s="15"/>
      <c r="N27" s="15"/>
      <c r="O27" s="15"/>
    </row>
    <row r="28" spans="1:15" hidden="1" x14ac:dyDescent="0.3">
      <c r="A28" s="15">
        <v>11</v>
      </c>
      <c r="B28" s="15">
        <v>30</v>
      </c>
      <c r="C28" s="18">
        <v>44531</v>
      </c>
      <c r="D28" s="31">
        <f t="shared" si="4"/>
        <v>21154.516984289345</v>
      </c>
      <c r="E28" s="31">
        <f t="shared" si="0"/>
        <v>289.78790389437563</v>
      </c>
      <c r="F28" s="31">
        <f>IF(A28&lt;B5,(B13*H27*B28),(IF(A28=B5,(B11*H27*B28+G27+G26+G25+G24+G23+G22+G21+G20+G19+G18),(B12*H27*B28))))</f>
        <v>20864.729080394969</v>
      </c>
      <c r="G28" s="51">
        <f>IF(A28&lt;B5,($B$11*H27*B28),0)</f>
        <v>0</v>
      </c>
      <c r="H28" s="31">
        <f t="shared" si="1"/>
        <v>352285.49516759469</v>
      </c>
      <c r="I28" s="31">
        <f t="shared" si="2"/>
        <v>0</v>
      </c>
      <c r="J28" s="24">
        <f>B9*H27</f>
        <v>0</v>
      </c>
      <c r="K28" s="24">
        <f t="shared" si="3"/>
        <v>0</v>
      </c>
      <c r="L28" s="15"/>
      <c r="M28" s="15"/>
      <c r="N28" s="15"/>
      <c r="O28" s="15"/>
    </row>
    <row r="29" spans="1:15" s="4" customFormat="1" ht="15.6" hidden="1" customHeight="1" x14ac:dyDescent="0.3">
      <c r="A29" s="15">
        <v>12</v>
      </c>
      <c r="B29" s="15">
        <v>31</v>
      </c>
      <c r="C29" s="18">
        <v>44562</v>
      </c>
      <c r="D29" s="31">
        <f>E29+F29+I29+J29+K29+H29</f>
        <v>373827.99448852817</v>
      </c>
      <c r="E29" s="31">
        <f>H28</f>
        <v>352285.49516759469</v>
      </c>
      <c r="F29" s="31">
        <f>IF(A29&lt;B5,(B13*H28*B29),(IF(A29=B5,(B11*H28*B29+G28+G27+G26+G25+G24+G23+G22+G21+G20+G19+G18),(B12*H28*B29))))</f>
        <v>21542.499320933464</v>
      </c>
      <c r="G29" s="51">
        <f>IF(A29&lt;B5,($B$11*H28*B29),0)</f>
        <v>0</v>
      </c>
      <c r="H29" s="31">
        <f t="shared" si="1"/>
        <v>0</v>
      </c>
      <c r="I29" s="31">
        <f t="shared" si="2"/>
        <v>0</v>
      </c>
      <c r="J29" s="24">
        <f>B9*H28</f>
        <v>0</v>
      </c>
      <c r="K29" s="24">
        <f t="shared" si="3"/>
        <v>0</v>
      </c>
      <c r="L29" s="15"/>
      <c r="M29" s="31"/>
      <c r="N29" s="31"/>
      <c r="O29" s="15"/>
    </row>
    <row r="30" spans="1:15" s="1" customFormat="1" hidden="1" x14ac:dyDescent="0.3">
      <c r="A30"/>
      <c r="B30" s="20" t="s">
        <v>6</v>
      </c>
      <c r="C30" s="20" t="s">
        <v>13</v>
      </c>
      <c r="D30" s="21">
        <f>SUM(D18:D29)</f>
        <v>628185.39015475591</v>
      </c>
      <c r="E30" s="21">
        <f>SUM(E18:E29)</f>
        <v>400000</v>
      </c>
      <c r="F30" s="21">
        <f>SUM(F18:F29)</f>
        <v>228185.39015475597</v>
      </c>
      <c r="G30" s="21"/>
      <c r="H30" s="21" t="s">
        <v>13</v>
      </c>
      <c r="I30" s="21">
        <f>SUM(I17:I29)</f>
        <v>15960</v>
      </c>
      <c r="J30" s="25">
        <f>SUM(J18:J29)</f>
        <v>0</v>
      </c>
      <c r="K30" s="25">
        <f>SUM(K18:K29)</f>
        <v>0</v>
      </c>
      <c r="L30" s="23">
        <f>XIRR(D17:D29,C17:C29)</f>
        <v>0.9187610268592834</v>
      </c>
      <c r="M30" s="21">
        <f>D30+I17</f>
        <v>644145.39015475591</v>
      </c>
      <c r="N30" s="21">
        <f>F30+I30+J30+K30</f>
        <v>244145.39015475597</v>
      </c>
      <c r="O30" s="32">
        <f>(N30/B1)/365</f>
        <v>1.6722286996901094E-3</v>
      </c>
    </row>
    <row r="33" spans="1:11" s="4" customFormat="1" ht="42" customHeight="1" x14ac:dyDescent="0.2">
      <c r="E33" s="5"/>
      <c r="F33" s="5"/>
    </row>
    <row r="34" spans="1:11" s="1" customFormat="1" ht="20.399999999999999" x14ac:dyDescent="0.35">
      <c r="A34" s="55" t="s">
        <v>16</v>
      </c>
      <c r="B34" s="55"/>
      <c r="C34" s="55"/>
      <c r="D34" s="55"/>
      <c r="E34" s="55"/>
      <c r="F34" s="55"/>
      <c r="G34" s="55"/>
      <c r="H34" s="55"/>
      <c r="I34" s="2">
        <v>400000</v>
      </c>
      <c r="J34" s="12" t="s">
        <v>17</v>
      </c>
      <c r="K34" s="4"/>
    </row>
    <row r="35" spans="1:11" s="4" customFormat="1" ht="10.199999999999999" customHeight="1" x14ac:dyDescent="0.3">
      <c r="A35" s="8"/>
      <c r="B35" s="8"/>
      <c r="C35" s="8"/>
      <c r="D35" s="8"/>
      <c r="E35" s="8"/>
      <c r="F35" s="8"/>
      <c r="G35" s="8"/>
      <c r="H35" s="8"/>
      <c r="I35" s="9"/>
      <c r="J35" s="10"/>
    </row>
    <row r="36" spans="1:11" s="1" customFormat="1" ht="17.399999999999999" x14ac:dyDescent="0.3">
      <c r="A36" s="57" t="s">
        <v>18</v>
      </c>
      <c r="B36" s="57"/>
      <c r="C36" s="57"/>
      <c r="D36" s="57"/>
      <c r="E36" s="57"/>
      <c r="F36" s="57"/>
      <c r="G36" s="57"/>
      <c r="H36" s="57"/>
      <c r="I36" s="56" t="s">
        <v>41</v>
      </c>
      <c r="J36" s="56"/>
      <c r="K36" s="4"/>
    </row>
    <row r="37" spans="1:11" s="4" customFormat="1" ht="10.199999999999999" customHeight="1" x14ac:dyDescent="0.3">
      <c r="A37" s="11"/>
      <c r="B37" s="11"/>
      <c r="C37" s="11"/>
      <c r="D37" s="11"/>
      <c r="E37" s="11"/>
      <c r="F37" s="11"/>
      <c r="G37" s="11"/>
      <c r="H37" s="11"/>
      <c r="I37" s="9"/>
      <c r="J37" s="10"/>
    </row>
    <row r="38" spans="1:11" s="1" customFormat="1" ht="17.399999999999999" x14ac:dyDescent="0.3">
      <c r="A38" s="57" t="s">
        <v>19</v>
      </c>
      <c r="B38" s="57"/>
      <c r="C38" s="57"/>
      <c r="D38" s="57"/>
      <c r="E38" s="57"/>
      <c r="F38" s="57"/>
      <c r="G38" s="57"/>
      <c r="H38" s="57"/>
      <c r="I38" s="26">
        <f>D20</f>
        <v>36762.821151549433</v>
      </c>
      <c r="J38" s="10" t="s">
        <v>17</v>
      </c>
      <c r="K38" s="4"/>
    </row>
    <row r="39" spans="1:11" s="4" customFormat="1" ht="10.199999999999999" customHeight="1" x14ac:dyDescent="0.3">
      <c r="A39" s="8"/>
      <c r="B39" s="8"/>
      <c r="C39" s="8"/>
      <c r="D39" s="8"/>
      <c r="E39" s="8"/>
      <c r="F39" s="8"/>
      <c r="G39" s="8"/>
      <c r="H39" s="8"/>
      <c r="I39" s="27"/>
      <c r="J39" s="10"/>
    </row>
    <row r="40" spans="1:11" s="1" customFormat="1" ht="17.399999999999999" x14ac:dyDescent="0.3">
      <c r="A40" s="57" t="s">
        <v>24</v>
      </c>
      <c r="B40" s="57"/>
      <c r="C40" s="57"/>
      <c r="D40" s="57"/>
      <c r="E40" s="57"/>
      <c r="F40" s="57"/>
      <c r="G40" s="57"/>
      <c r="H40" s="57"/>
      <c r="I40" s="26">
        <f>F30</f>
        <v>228185.39015475597</v>
      </c>
      <c r="J40" s="10" t="s">
        <v>17</v>
      </c>
      <c r="K40" s="4"/>
    </row>
    <row r="41" spans="1:11" s="4" customFormat="1" ht="10.199999999999999" customHeight="1" x14ac:dyDescent="0.3">
      <c r="A41" s="8"/>
      <c r="B41" s="8"/>
      <c r="C41" s="8"/>
      <c r="D41" s="8"/>
      <c r="E41" s="8"/>
      <c r="F41" s="8"/>
      <c r="G41" s="8"/>
      <c r="H41" s="8"/>
      <c r="I41" s="27"/>
      <c r="J41" s="10"/>
    </row>
    <row r="42" spans="1:11" s="1" customFormat="1" ht="17.399999999999999" x14ac:dyDescent="0.3">
      <c r="A42" s="57" t="s">
        <v>25</v>
      </c>
      <c r="B42" s="57"/>
      <c r="C42" s="57"/>
      <c r="D42" s="57"/>
      <c r="E42" s="57"/>
      <c r="F42" s="57"/>
      <c r="G42" s="57"/>
      <c r="H42" s="57"/>
      <c r="I42" s="26">
        <f>D30</f>
        <v>628185.39015475591</v>
      </c>
      <c r="J42" s="10" t="s">
        <v>17</v>
      </c>
      <c r="K42" s="4"/>
    </row>
    <row r="43" spans="1:11" s="4" customFormat="1" ht="10.199999999999999" customHeight="1" x14ac:dyDescent="0.3">
      <c r="A43" s="8"/>
      <c r="B43" s="8"/>
      <c r="C43" s="8"/>
      <c r="D43" s="8"/>
      <c r="E43" s="8"/>
      <c r="F43" s="8"/>
      <c r="G43" s="8"/>
      <c r="H43" s="8"/>
      <c r="I43" s="9"/>
      <c r="J43" s="10"/>
    </row>
    <row r="44" spans="1:11" s="1" customFormat="1" ht="17.399999999999999" x14ac:dyDescent="0.3">
      <c r="A44" s="57" t="s">
        <v>26</v>
      </c>
      <c r="B44" s="57"/>
      <c r="C44" s="57"/>
      <c r="D44" s="57"/>
      <c r="E44" s="57"/>
      <c r="F44" s="57"/>
      <c r="G44" s="57"/>
      <c r="H44" s="57"/>
      <c r="I44" s="3">
        <f>L30</f>
        <v>0.9187610268592834</v>
      </c>
      <c r="J44" s="10"/>
      <c r="K44" s="4"/>
    </row>
    <row r="45" spans="1:11" s="1" customFormat="1" ht="10.8" customHeight="1" x14ac:dyDescent="0.35">
      <c r="A45" s="4"/>
      <c r="B45" s="4"/>
      <c r="C45" s="4"/>
      <c r="D45" s="4"/>
      <c r="E45" s="5"/>
      <c r="F45" s="6"/>
      <c r="G45" s="7"/>
      <c r="H45" s="4"/>
      <c r="I45" s="4"/>
      <c r="J45" s="4"/>
    </row>
    <row r="46" spans="1:11" s="1" customFormat="1" ht="100.95" customHeight="1" x14ac:dyDescent="0.2">
      <c r="A46" s="59" t="s">
        <v>28</v>
      </c>
      <c r="B46" s="59"/>
      <c r="C46" s="59"/>
      <c r="D46" s="59"/>
      <c r="E46" s="59"/>
      <c r="F46" s="59"/>
      <c r="G46" s="59"/>
      <c r="H46" s="59"/>
      <c r="I46" s="59"/>
      <c r="J46" s="59"/>
    </row>
    <row r="47" spans="1:11" s="1" customFormat="1" ht="40.200000000000003" customHeight="1" x14ac:dyDescent="0.2">
      <c r="A47" s="58" t="s">
        <v>20</v>
      </c>
      <c r="B47" s="58"/>
      <c r="C47" s="58"/>
      <c r="D47" s="58"/>
      <c r="E47" s="58"/>
      <c r="F47" s="58"/>
      <c r="G47" s="58"/>
      <c r="H47" s="58"/>
      <c r="I47" s="58"/>
      <c r="J47" s="58"/>
    </row>
    <row r="48" spans="1:11" s="29" customFormat="1" hidden="1" x14ac:dyDescent="0.3">
      <c r="C48" s="30"/>
    </row>
    <row r="49" spans="3:3" s="29" customFormat="1" hidden="1" x14ac:dyDescent="0.3">
      <c r="C49" s="30"/>
    </row>
  </sheetData>
  <sheetProtection algorithmName="SHA-512" hashValue="PVH6BhFpvEECl0F3uFdOI9PXczf2jxCIFIdYBZOPhcit3CefV1c9JwoMifuHSCITObv2JyIWRXI7S9Wa9PXK9Q==" saltValue="D2HzGBhitRDFy5Av+dKdfg==" spinCount="100000" sheet="1" selectLockedCells="1"/>
  <mergeCells count="9">
    <mergeCell ref="A44:H44"/>
    <mergeCell ref="A46:J46"/>
    <mergeCell ref="A47:J47"/>
    <mergeCell ref="A34:H34"/>
    <mergeCell ref="A36:H36"/>
    <mergeCell ref="A38:H38"/>
    <mergeCell ref="A40:H40"/>
    <mergeCell ref="A42:H42"/>
    <mergeCell ref="I36:J3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Сегмент 1 (безгтоівково)</vt:lpstr>
      <vt:lpstr>Сегмент 1 (зняття готівкою) </vt:lpstr>
      <vt:lpstr>Сегмент 2 (безгтоівково)</vt:lpstr>
      <vt:lpstr>Сегмент 2 (зняття готівкою)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Sniff</dc:creator>
  <cp:lastModifiedBy>Герасимов Олександр</cp:lastModifiedBy>
  <dcterms:created xsi:type="dcterms:W3CDTF">2020-04-10T13:41:21Z</dcterms:created>
  <dcterms:modified xsi:type="dcterms:W3CDTF">2026-02-19T09:52:15Z</dcterms:modified>
</cp:coreProperties>
</file>