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Зустрічка 12,24 міс\"/>
    </mc:Choice>
  </mc:AlternateContent>
  <xr:revisionPtr revIDLastSave="0" documentId="13_ncr:1_{6CE82D37-79E7-4F13-AEE0-181A2ECE5145}" xr6:coauthVersionLast="47" xr6:coauthVersionMax="47" xr10:uidLastSave="{00000000-0000-0000-0000-000000000000}"/>
  <workbookProtection workbookAlgorithmName="SHA-512" workbookHashValue="o1NlzzxJW1K5OprmN4RnKDZMtACBB9pRBzfEFINBoLDOCv9dKKJfq2Z4wOFnkHpY+RmZN8l0BRPtlKEP0nPQcw==" workbookSaltValue="6MjqOs4r3MToZZEKGeimLw==" workbookSpinCount="100000" lockStructure="1"/>
  <bookViews>
    <workbookView xWindow="-108" yWindow="-108" windowWidth="23256" windowHeight="12720" tabRatio="863" firstSheet="1" activeTab="1" xr2:uid="{00000000-000D-0000-FFFF-FFFF00000000}"/>
  </bookViews>
  <sheets>
    <sheet name="Головна" sheetId="171" state="hidden" r:id="rId1"/>
    <sheet name="Зустрічна пропозиція" sheetId="187" r:id="rId2"/>
    <sheet name="Лист2" sheetId="165" state="hidden" r:id="rId3"/>
    <sheet name="Назви" sheetId="161" state="hidden" r:id="rId4"/>
  </sheets>
  <definedNames>
    <definedName name="_xlnm._FilterDatabase" localSheetId="1" hidden="1">'Зустрічна пропозиція'!$A$33:$G$95</definedName>
    <definedName name="_xlnm.Print_Area" localSheetId="0">Головна!$B$4:$Q$22</definedName>
    <definedName name="_xlnm.Print_Area" localSheetId="1">'Зустрічна пропозиція'!$A$1:$I$98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87" l="1"/>
  <c r="K25" i="187"/>
  <c r="K26" i="187"/>
  <c r="B11" i="187" l="1"/>
  <c r="B13" i="187"/>
  <c r="F9" i="187"/>
  <c r="K22" i="187" l="1"/>
  <c r="K23" i="187"/>
  <c r="H3" i="187" l="1"/>
  <c r="F19" i="187"/>
  <c r="F17" i="187"/>
  <c r="F15" i="187"/>
  <c r="B15" i="187"/>
  <c r="E15" i="187"/>
  <c r="D15" i="187"/>
  <c r="C15" i="187"/>
  <c r="J50" i="187" l="1"/>
  <c r="J49" i="187"/>
  <c r="J48" i="187"/>
  <c r="J47" i="187"/>
  <c r="J46" i="187"/>
  <c r="J45" i="187"/>
  <c r="J44" i="187"/>
  <c r="J43" i="187"/>
  <c r="J42" i="187"/>
  <c r="J41" i="187"/>
  <c r="J40" i="187"/>
  <c r="J39" i="187"/>
  <c r="J38" i="187"/>
  <c r="J37" i="187"/>
  <c r="J36" i="187"/>
  <c r="J35" i="187"/>
  <c r="J34" i="187"/>
  <c r="J33" i="187"/>
  <c r="F33" i="187"/>
  <c r="E33" i="187"/>
  <c r="D33" i="187"/>
  <c r="C33" i="187"/>
  <c r="B32" i="187"/>
  <c r="B30" i="187"/>
  <c r="E28" i="187"/>
  <c r="D28" i="187"/>
  <c r="C28" i="187"/>
  <c r="B28" i="187"/>
  <c r="E26" i="187"/>
  <c r="D26" i="187"/>
  <c r="C26" i="187"/>
  <c r="B26" i="187"/>
  <c r="K24" i="187"/>
  <c r="E24" i="187"/>
  <c r="D24" i="187"/>
  <c r="C24" i="187"/>
  <c r="B24" i="187"/>
  <c r="F21" i="187"/>
  <c r="E21" i="187"/>
  <c r="D21" i="187"/>
  <c r="C21" i="187"/>
  <c r="B21" i="187"/>
  <c r="E19" i="187"/>
  <c r="D19" i="187"/>
  <c r="C19" i="187"/>
  <c r="B19" i="187"/>
  <c r="E17" i="187"/>
  <c r="D17" i="187"/>
  <c r="C17" i="187"/>
  <c r="B17" i="187"/>
  <c r="F13" i="187"/>
  <c r="F11" i="187" s="1"/>
  <c r="E13" i="187"/>
  <c r="D13" i="187"/>
  <c r="C13" i="187"/>
  <c r="G3" i="187"/>
  <c r="G2" i="187"/>
  <c r="F2" i="187"/>
  <c r="E2" i="187"/>
  <c r="F24" i="187" l="1"/>
  <c r="D91" i="187"/>
  <c r="D87" i="187"/>
  <c r="D83" i="187"/>
  <c r="D79" i="187"/>
  <c r="D75" i="187"/>
  <c r="D71" i="187"/>
  <c r="D67" i="187"/>
  <c r="D63" i="187"/>
  <c r="D59" i="187"/>
  <c r="D55" i="187"/>
  <c r="D51" i="187"/>
  <c r="D47" i="187"/>
  <c r="D43" i="187"/>
  <c r="D39" i="187"/>
  <c r="D35" i="187"/>
  <c r="D94" i="187"/>
  <c r="D90" i="187"/>
  <c r="D86" i="187"/>
  <c r="D82" i="187"/>
  <c r="D78" i="187"/>
  <c r="D74" i="187"/>
  <c r="D70" i="187"/>
  <c r="D66" i="187"/>
  <c r="D62" i="187"/>
  <c r="D58" i="187"/>
  <c r="D54" i="187"/>
  <c r="D50" i="187"/>
  <c r="D46" i="187"/>
  <c r="D42" i="187"/>
  <c r="D38" i="187"/>
  <c r="D93" i="187"/>
  <c r="D89" i="187"/>
  <c r="D85" i="187"/>
  <c r="D81" i="187"/>
  <c r="D77" i="187"/>
  <c r="D73" i="187"/>
  <c r="D69" i="187"/>
  <c r="D65" i="187"/>
  <c r="D61" i="187"/>
  <c r="D57" i="187"/>
  <c r="D53" i="187"/>
  <c r="D49" i="187"/>
  <c r="D45" i="187"/>
  <c r="D41" i="187"/>
  <c r="D37" i="187"/>
  <c r="D92" i="187"/>
  <c r="D88" i="187"/>
  <c r="D84" i="187"/>
  <c r="D80" i="187"/>
  <c r="D76" i="187"/>
  <c r="D72" i="187"/>
  <c r="D68" i="187"/>
  <c r="D64" i="187"/>
  <c r="D60" i="187"/>
  <c r="D56" i="187"/>
  <c r="D52" i="187"/>
  <c r="D48" i="187"/>
  <c r="D44" i="187"/>
  <c r="D40" i="187"/>
  <c r="D36" i="187"/>
  <c r="E3" i="187"/>
  <c r="F34" i="187" s="1"/>
  <c r="E22" i="187"/>
  <c r="C35" i="187"/>
  <c r="C36" i="187" s="1"/>
  <c r="C37" i="187" s="1"/>
  <c r="C38" i="187" s="1"/>
  <c r="C39" i="187" s="1"/>
  <c r="C40" i="187" s="1"/>
  <c r="C41" i="187" s="1"/>
  <c r="C42" i="187" s="1"/>
  <c r="C43" i="187" s="1"/>
  <c r="C44" i="187" s="1"/>
  <c r="C45" i="187" s="1"/>
  <c r="C46" i="187" s="1"/>
  <c r="C47" i="187" s="1"/>
  <c r="C48" i="187" s="1"/>
  <c r="C49" i="187" s="1"/>
  <c r="C50" i="187" s="1"/>
  <c r="C51" i="187" s="1"/>
  <c r="C52" i="187" s="1"/>
  <c r="C53" i="187" s="1"/>
  <c r="C54" i="187" s="1"/>
  <c r="C55" i="187" s="1"/>
  <c r="C56" i="187" s="1"/>
  <c r="C57" i="187" s="1"/>
  <c r="C58" i="187" s="1"/>
  <c r="C59" i="187" s="1"/>
  <c r="C60" i="187" s="1"/>
  <c r="C61" i="187" s="1"/>
  <c r="C62" i="187" s="1"/>
  <c r="C63" i="187" s="1"/>
  <c r="C64" i="187" s="1"/>
  <c r="C65" i="187" s="1"/>
  <c r="C66" i="187" s="1"/>
  <c r="C67" i="187" s="1"/>
  <c r="C68" i="187" s="1"/>
  <c r="C69" i="187" s="1"/>
  <c r="C70" i="187" s="1"/>
  <c r="C71" i="187" s="1"/>
  <c r="C72" i="187" s="1"/>
  <c r="C73" i="187" s="1"/>
  <c r="C74" i="187" s="1"/>
  <c r="C75" i="187" s="1"/>
  <c r="C76" i="187" s="1"/>
  <c r="C77" i="187" s="1"/>
  <c r="C78" i="187" s="1"/>
  <c r="C79" i="187" s="1"/>
  <c r="C80" i="187" s="1"/>
  <c r="C81" i="187" s="1"/>
  <c r="C82" i="187" s="1"/>
  <c r="C83" i="187" s="1"/>
  <c r="C84" i="187" s="1"/>
  <c r="C85" i="187" s="1"/>
  <c r="C86" i="187" s="1"/>
  <c r="C87" i="187" s="1"/>
  <c r="C88" i="187" s="1"/>
  <c r="C89" i="187" s="1"/>
  <c r="C90" i="187" s="1"/>
  <c r="C91" i="187" s="1"/>
  <c r="C92" i="187" s="1"/>
  <c r="C93" i="187" s="1"/>
  <c r="C94" i="187" s="1"/>
  <c r="E23" i="187" l="1"/>
  <c r="F3" i="187"/>
  <c r="F12" i="187" l="1"/>
  <c r="E7" i="171" l="1"/>
  <c r="E8" i="171"/>
  <c r="E21" i="171" l="1"/>
  <c r="E19" i="171"/>
  <c r="Q7" i="171" l="1"/>
  <c r="P8" i="171" l="1"/>
  <c r="O8" i="171"/>
  <c r="N8" i="171"/>
  <c r="M8" i="171"/>
  <c r="L8" i="171"/>
  <c r="K8" i="171"/>
  <c r="D8" i="171" l="1"/>
  <c r="F8" i="171"/>
  <c r="I8" i="171"/>
  <c r="H8" i="171"/>
  <c r="G8" i="171"/>
  <c r="J8" i="171"/>
  <c r="F10" i="171" l="1"/>
  <c r="F9" i="171"/>
  <c r="F7" i="171"/>
  <c r="E9" i="171" l="1"/>
  <c r="D9" i="171"/>
  <c r="B9" i="171" l="1"/>
  <c r="P9" i="171" l="1"/>
  <c r="O9" i="171"/>
  <c r="N9" i="171"/>
  <c r="M9" i="171"/>
  <c r="L9" i="171"/>
  <c r="K9" i="171"/>
  <c r="P10" i="171"/>
  <c r="O10" i="171"/>
  <c r="N10" i="171"/>
  <c r="M10" i="171"/>
  <c r="L10" i="171"/>
  <c r="P7" i="171"/>
  <c r="O7" i="171"/>
  <c r="N7" i="171"/>
  <c r="M7" i="171"/>
  <c r="L7" i="171"/>
  <c r="K7" i="171"/>
  <c r="E10" i="171"/>
  <c r="D10" i="171"/>
  <c r="B10" i="171" l="1"/>
  <c r="D7" i="171"/>
  <c r="J9" i="171" l="1"/>
  <c r="I9" i="171"/>
  <c r="H9" i="171"/>
  <c r="G9" i="171"/>
  <c r="J7" i="171"/>
  <c r="H7" i="171"/>
  <c r="I7" i="171"/>
  <c r="K10" i="171"/>
  <c r="G10" i="171"/>
  <c r="I10" i="171"/>
  <c r="J10" i="171"/>
  <c r="H10" i="171"/>
  <c r="G7" i="171" l="1"/>
  <c r="C25" i="161" l="1"/>
  <c r="H25" i="161" s="1"/>
  <c r="D25" i="161"/>
  <c r="F25" i="161" s="1"/>
  <c r="E25" i="161"/>
  <c r="C26" i="161"/>
  <c r="H26" i="161" s="1"/>
  <c r="D26" i="161"/>
  <c r="F26" i="161" s="1"/>
  <c r="E26" i="161"/>
  <c r="C27" i="161"/>
  <c r="H27" i="161" s="1"/>
  <c r="D27" i="161"/>
  <c r="F27" i="161" s="1"/>
  <c r="E27" i="161"/>
  <c r="C28" i="161"/>
  <c r="H28" i="161" s="1"/>
  <c r="D28" i="161"/>
  <c r="G28" i="161" s="1"/>
  <c r="E28" i="161"/>
  <c r="F28" i="161" l="1"/>
  <c r="G27" i="161"/>
  <c r="G26" i="161"/>
  <c r="G25" i="161"/>
  <c r="D95" i="187" l="1"/>
  <c r="E69" i="187"/>
  <c r="F69" i="187" s="1"/>
  <c r="E61" i="187"/>
  <c r="F61" i="187" s="1"/>
  <c r="E40" i="187"/>
  <c r="F40" i="187" s="1"/>
  <c r="E60" i="187"/>
  <c r="F60" i="187" s="1"/>
  <c r="E68" i="187"/>
  <c r="F68" i="187" s="1"/>
  <c r="E42" i="187"/>
  <c r="F42" i="187" s="1"/>
  <c r="E52" i="187"/>
  <c r="F52" i="187" s="1"/>
  <c r="E67" i="187"/>
  <c r="F67" i="187" s="1"/>
  <c r="E47" i="187"/>
  <c r="F47" i="187" s="1"/>
  <c r="E38" i="187"/>
  <c r="F38" i="187" s="1"/>
  <c r="E55" i="187"/>
  <c r="F55" i="187" s="1"/>
  <c r="E44" i="187"/>
  <c r="F44" i="187" s="1"/>
  <c r="E64" i="187"/>
  <c r="F64" i="187" s="1"/>
  <c r="E70" i="187"/>
  <c r="F70" i="187" s="1"/>
  <c r="E39" i="187"/>
  <c r="F39" i="187" s="1"/>
  <c r="E46" i="187"/>
  <c r="F46" i="187" s="1"/>
  <c r="E54" i="187"/>
  <c r="F54" i="187" s="1"/>
  <c r="E43" i="187"/>
  <c r="F43" i="187" s="1"/>
  <c r="E58" i="187"/>
  <c r="F58" i="187" s="1"/>
  <c r="E48" i="187"/>
  <c r="F48" i="187" s="1"/>
  <c r="E49" i="187"/>
  <c r="F49" i="187" s="1"/>
  <c r="E62" i="187"/>
  <c r="F62" i="187" s="1"/>
  <c r="E51" i="187"/>
  <c r="F51" i="187" s="1"/>
  <c r="E56" i="187"/>
  <c r="F56" i="187" s="1"/>
  <c r="E57" i="187"/>
  <c r="F57" i="187" s="1"/>
  <c r="E66" i="187"/>
  <c r="F66" i="187" s="1"/>
  <c r="E65" i="187"/>
  <c r="F65" i="187" s="1"/>
  <c r="E63" i="187"/>
  <c r="F63" i="187" s="1"/>
  <c r="E50" i="187"/>
  <c r="F50" i="187" s="1"/>
  <c r="E41" i="187"/>
  <c r="F41" i="187" s="1"/>
  <c r="E53" i="187"/>
  <c r="F53" i="187" s="1"/>
  <c r="E45" i="187"/>
  <c r="F45" i="187" s="1"/>
  <c r="E59" i="187"/>
  <c r="F59" i="187" s="1"/>
  <c r="E36" i="187"/>
  <c r="F36" i="187" s="1"/>
  <c r="E35" i="187"/>
  <c r="F35" i="187" s="1"/>
  <c r="E94" i="187"/>
  <c r="F94" i="187" s="1"/>
  <c r="E71" i="187"/>
  <c r="F71" i="187" s="1"/>
  <c r="E87" i="187"/>
  <c r="F87" i="187" s="1"/>
  <c r="E80" i="187"/>
  <c r="F80" i="187" s="1"/>
  <c r="E37" i="187"/>
  <c r="F37" i="187" s="1"/>
  <c r="E85" i="187"/>
  <c r="F85" i="187" s="1"/>
  <c r="E78" i="187"/>
  <c r="F78" i="187" s="1"/>
  <c r="E75" i="187"/>
  <c r="F75" i="187" s="1"/>
  <c r="E84" i="187"/>
  <c r="F84" i="187" s="1"/>
  <c r="E73" i="187"/>
  <c r="F73" i="187" s="1"/>
  <c r="E89" i="187"/>
  <c r="F89" i="187" s="1"/>
  <c r="E82" i="187"/>
  <c r="F82" i="187" s="1"/>
  <c r="E91" i="187"/>
  <c r="F91" i="187" s="1"/>
  <c r="E79" i="187"/>
  <c r="F79" i="187" s="1"/>
  <c r="E72" i="187"/>
  <c r="F72" i="187" s="1"/>
  <c r="E88" i="187"/>
  <c r="F88" i="187" s="1"/>
  <c r="E77" i="187"/>
  <c r="F77" i="187" s="1"/>
  <c r="E93" i="187"/>
  <c r="F93" i="187" s="1"/>
  <c r="E86" i="187"/>
  <c r="F86" i="187" s="1"/>
  <c r="E83" i="187"/>
  <c r="F83" i="187" s="1"/>
  <c r="E76" i="187"/>
  <c r="F76" i="187" s="1"/>
  <c r="E92" i="187"/>
  <c r="F92" i="187" s="1"/>
  <c r="E81" i="187"/>
  <c r="F81" i="187" s="1"/>
  <c r="E74" i="187"/>
  <c r="F74" i="187" s="1"/>
  <c r="E90" i="187"/>
  <c r="F90" i="187" s="1"/>
  <c r="F30" i="187" l="1"/>
  <c r="F95" i="187"/>
  <c r="F26" i="187" s="1"/>
  <c r="F28" i="187" s="1"/>
  <c r="E95" i="187"/>
</calcChain>
</file>

<file path=xl/sharedStrings.xml><?xml version="1.0" encoding="utf-8"?>
<sst xmlns="http://schemas.openxmlformats.org/spreadsheetml/2006/main" count="93" uniqueCount="84">
  <si>
    <t>12 міс.</t>
  </si>
  <si>
    <t>18 міс.</t>
  </si>
  <si>
    <t>Щомісячний платіж</t>
  </si>
  <si>
    <t>Всього</t>
  </si>
  <si>
    <t>Місяць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</si>
  <si>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</si>
  <si>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</si>
  <si>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</si>
  <si>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</si>
  <si>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</si>
  <si>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</si>
  <si>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</si>
  <si>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</si>
  <si>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</si>
  <si>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Код</t>
  </si>
  <si>
    <t>Cash out, грн.</t>
  </si>
  <si>
    <t>9 місяців</t>
  </si>
  <si>
    <t>6 місяців</t>
  </si>
  <si>
    <t>14 місяців</t>
  </si>
  <si>
    <t>Макс. сума</t>
  </si>
  <si>
    <t>термін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</si>
  <si>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</si>
  <si>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</si>
  <si>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</si>
  <si>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</si>
  <si>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</si>
  <si>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</si>
  <si>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>к-ть днів у місяці</t>
  </si>
  <si>
    <t>Початкова комісія</t>
  </si>
  <si>
    <t>Крок</t>
  </si>
  <si>
    <t>36 міс.</t>
  </si>
  <si>
    <t>Термін</t>
  </si>
  <si>
    <t>Продукт</t>
  </si>
  <si>
    <t>48 міс.</t>
  </si>
  <si>
    <t>60 міс.</t>
  </si>
  <si>
    <t>Дохід клієнта</t>
  </si>
  <si>
    <t>30 міс.</t>
  </si>
  <si>
    <t>24 міс.</t>
  </si>
  <si>
    <t>6 міс.</t>
  </si>
  <si>
    <t>Максимальна сума на руки</t>
  </si>
  <si>
    <t>Масимальна сума на руки по кредиту</t>
  </si>
  <si>
    <t>5 міс.</t>
  </si>
  <si>
    <t>4 міс.</t>
  </si>
  <si>
    <t>3 міс.</t>
  </si>
  <si>
    <t>2 міс.</t>
  </si>
  <si>
    <t>1 міс.</t>
  </si>
  <si>
    <t>Для Вас Х</t>
  </si>
  <si>
    <t>Основний дохід</t>
  </si>
  <si>
    <t>Додатковий дохід:</t>
  </si>
  <si>
    <t>Дохід від депозиту</t>
  </si>
  <si>
    <t>Дохід від надання нерухомості в оренду</t>
  </si>
  <si>
    <t>Аліменти</t>
  </si>
  <si>
    <t>Дохід від підприємницької діяльності</t>
  </si>
  <si>
    <t>Дохід від неофіційної діяльності</t>
  </si>
  <si>
    <t>Бюджетний Х_ПУМБ</t>
  </si>
  <si>
    <t>Пенсійний Х_ПУМБ</t>
  </si>
  <si>
    <t>Разовий страховий тариф, %</t>
  </si>
  <si>
    <t xml:space="preserve">Щомісячна плата за обслуговування кредитної заборгованості, % </t>
  </si>
  <si>
    <t>Розмір щомісячної плати за обслуговування кредитної заборгованості, грн.</t>
  </si>
  <si>
    <t>Проценти за користування кредитом, грн.</t>
  </si>
  <si>
    <t>Погашення суми кредиту, грн.</t>
  </si>
  <si>
    <t>Сума платежу за розрахунковий період, грн.</t>
  </si>
  <si>
    <t>Орієнтовний порядок повернення кредиту</t>
  </si>
  <si>
    <t>Орієнтовні загальні витрати за кредитом, грн.</t>
  </si>
  <si>
    <t>№ з/п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</si>
  <si>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термін кредиту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</si>
  <si>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</si>
  <si>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</si>
  <si>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</si>
  <si>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 xml:space="preserve">% ставка знижена </t>
  </si>
  <si>
    <t>Реальна річна процентна ставка, %</t>
  </si>
  <si>
    <r>
      <rPr>
        <b/>
        <sz val="11"/>
        <color rgb="FFFF0000"/>
        <rFont val="Arial Cyr"/>
        <charset val="204"/>
      </rPr>
      <t>!!!</t>
    </r>
    <r>
      <rPr>
        <b/>
        <sz val="11"/>
        <rFont val="Arial Cyr"/>
        <family val="2"/>
        <charset val="204"/>
      </rPr>
      <t>Введіть бажану суму перекредитування у іншому Банку</t>
    </r>
  </si>
  <si>
    <t>Загальна сума кредиту, грн.</t>
  </si>
  <si>
    <t>Процентна ставка (для кредитів інших банків), % річних</t>
  </si>
  <si>
    <r>
      <rPr>
        <b/>
        <sz val="11"/>
        <color rgb="FFFF0000"/>
        <rFont val="Arial Cyr"/>
        <charset val="204"/>
      </rPr>
      <t>!!!</t>
    </r>
    <r>
      <rPr>
        <b/>
        <sz val="11"/>
        <rFont val="Arial Cyr"/>
        <family val="2"/>
        <charset val="204"/>
      </rPr>
      <t>Введіть бажану суму перекредитування у Ідея (сума на руки)</t>
    </r>
  </si>
  <si>
    <t>Середньозважена процентна ставка, % річних</t>
  </si>
  <si>
    <t xml:space="preserve">% ставка  </t>
  </si>
  <si>
    <t xml:space="preserve">Зустрічна пропозиція, 60 міс. </t>
  </si>
  <si>
    <t xml:space="preserve">Зустрічна пропозиція, 48 міс. </t>
  </si>
  <si>
    <t xml:space="preserve">Зустрічна пропозиція, 36 міс. </t>
  </si>
  <si>
    <t>Процентна ставка (сума на руки), % річних</t>
  </si>
  <si>
    <t>max. 500000 грн.</t>
  </si>
  <si>
    <t xml:space="preserve">Зустрічна пропозиція, 24 міс. </t>
  </si>
  <si>
    <t xml:space="preserve">Зустрічна пропозиція, 12 міс.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</si>
</sst>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-* #,##0.00\ _ _-;\-* #,##0.00\ _ _-;_-* &quot;-&quot;??\ _ _-;_-@_-"/>
    <numFmt numFmtId="165" formatCode="#&quot; &quot;##0"/>
    <numFmt numFmtId="166" formatCode="0.0%"/>
    <numFmt numFmtId="167" formatCode="#&quot; &quot;##0.0"/>
    <numFmt numFmtId="168" formatCode="#&quot; &quot;##0.00"/>
    <numFmt numFmtId="169" formatCode="#&quot; &quot;##0.00\ [$грн.-422]"/>
    <numFmt numFmtId="170" formatCode="#&quot; &quot;##0.0\ [$грн.-422]"/>
    <numFmt numFmtId="171" formatCode="0.0"/>
    <numFmt numFmtId="172" formatCode="_-* #&quot; &quot;##0.0\ _ _-;\-* #&quot; &quot;##0.0\ _ _-;_-* &quot;-&quot;??\ _ _-;_-@_-"/>
    <numFmt numFmtId="173" formatCode="#&quot; &quot;##0_ ;\-#&quot; &quot;##0\ "/>
    <numFmt numFmtId="174" formatCode="0.0000%"/>
    <numFmt numFmtId="175" formatCode="0.000000%"/>
    <numFmt numFmtId="176" formatCode="#,##0.00&quot;₴&quot;"/>
    <numFmt numFmtId="177" formatCode="_-* #,##0.00&quot; &quot;_-;\-* #,##0.00&quot; &quot;_-;_-* &quot;-&quot;??&quot; &quot;_-;_-@_-"/>
    <numFmt numFmtId="178" formatCode="_-* #,##0\ _ _-;\-* #,##0\ _ _-;_-* &quot;-&quot;??\ _ _-;_-@_-"/>
  </numFmts>
  <fonts count="4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b/>
      <sz val="7.5"/>
      <name val="Arial"/>
      <family val="2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sz val="10"/>
      <color indexed="55"/>
      <name val="Arial"/>
      <family val="2"/>
      <charset val="204"/>
    </font>
    <font>
      <b/>
      <sz val="8"/>
      <name val="Arial Cyr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theme="0"/>
      <name val="Arial"/>
      <family val="2"/>
      <charset val="204"/>
    </font>
    <font>
      <sz val="8"/>
      <color theme="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u/>
      <sz val="11"/>
      <color rgb="FFFF0000"/>
      <name val="Arial Narrow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12"/>
      <name val="Arial Cyr"/>
      <charset val="204"/>
    </font>
    <font>
      <i/>
      <sz val="10"/>
      <name val="Arial Cyr"/>
      <charset val="204"/>
    </font>
    <font>
      <b/>
      <u/>
      <sz val="9"/>
      <name val="Arial"/>
      <family val="2"/>
      <charset val="204"/>
    </font>
    <font>
      <b/>
      <sz val="11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1"/>
      <color rgb="FFFF0000"/>
      <name val="Arial Cyr"/>
      <charset val="204"/>
    </font>
    <font>
      <b/>
      <sz val="11"/>
      <name val="Arial Cyr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gray0625">
        <fgColor rgb="FFFF0000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75">
    <xf numFmtId="0" fontId="0" fillId="0" borderId="0"/>
    <xf numFmtId="0" fontId="24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1" fillId="0" borderId="0"/>
  </cellStyleXfs>
  <cellXfs count="253">
    <xf numFmtId="0" fontId="0" fillId="0" borderId="0" xfId="0"/>
    <xf numFmtId="0" fontId="9" fillId="3" borderId="0" xfId="23" applyFont="1" applyFill="1"/>
    <xf numFmtId="0" fontId="5" fillId="3" borderId="0" xfId="23" applyFill="1"/>
    <xf numFmtId="0" fontId="0" fillId="3" borderId="0" xfId="0" applyFill="1"/>
    <xf numFmtId="0" fontId="5" fillId="0" borderId="0" xfId="23"/>
    <xf numFmtId="0" fontId="8" fillId="3" borderId="0" xfId="0" applyFont="1" applyFill="1"/>
    <xf numFmtId="1" fontId="5" fillId="3" borderId="0" xfId="23" applyNumberFormat="1" applyFill="1" applyAlignment="1">
      <alignment vertical="top" wrapText="1"/>
    </xf>
    <xf numFmtId="10" fontId="4" fillId="0" borderId="1" xfId="23" applyNumberFormat="1" applyFont="1" applyBorder="1" applyAlignment="1">
      <alignment horizontal="center"/>
    </xf>
    <xf numFmtId="10" fontId="17" fillId="0" borderId="1" xfId="23" applyNumberFormat="1" applyFont="1" applyBorder="1" applyAlignment="1">
      <alignment horizontal="center"/>
    </xf>
    <xf numFmtId="10" fontId="4" fillId="3" borderId="0" xfId="23" applyNumberFormat="1" applyFont="1" applyFill="1" applyAlignment="1">
      <alignment horizontal="center"/>
    </xf>
    <xf numFmtId="0" fontId="11" fillId="3" borderId="0" xfId="0" applyFont="1" applyFill="1"/>
    <xf numFmtId="0" fontId="18" fillId="3" borderId="0" xfId="23" applyFont="1" applyFill="1" applyAlignment="1">
      <alignment horizontal="center"/>
    </xf>
    <xf numFmtId="0" fontId="9" fillId="0" borderId="0" xfId="23" applyFont="1"/>
    <xf numFmtId="169" fontId="4" fillId="0" borderId="1" xfId="23" applyNumberFormat="1" applyFont="1" applyBorder="1" applyAlignment="1">
      <alignment horizontal="center"/>
    </xf>
    <xf numFmtId="169" fontId="17" fillId="0" borderId="1" xfId="23" applyNumberFormat="1" applyFont="1" applyBorder="1" applyAlignment="1">
      <alignment horizontal="center"/>
    </xf>
    <xf numFmtId="0" fontId="8" fillId="3" borderId="0" xfId="0" applyFont="1" applyFill="1" applyAlignment="1">
      <alignment horizontal="left"/>
    </xf>
    <xf numFmtId="169" fontId="4" fillId="3" borderId="0" xfId="23" applyNumberFormat="1" applyFont="1" applyFill="1" applyAlignment="1">
      <alignment horizontal="center"/>
    </xf>
    <xf numFmtId="0" fontId="20" fillId="3" borderId="0" xfId="23" applyFont="1" applyFill="1"/>
    <xf numFmtId="0" fontId="19" fillId="3" borderId="0" xfId="23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169" fontId="4" fillId="3" borderId="2" xfId="23" applyNumberFormat="1" applyFont="1" applyFill="1" applyBorder="1"/>
    <xf numFmtId="166" fontId="4" fillId="0" borderId="1" xfId="23" applyNumberFormat="1" applyFont="1" applyBorder="1" applyAlignment="1">
      <alignment horizontal="center"/>
    </xf>
    <xf numFmtId="170" fontId="21" fillId="0" borderId="1" xfId="23" applyNumberFormat="1" applyFont="1" applyBorder="1" applyAlignment="1">
      <alignment horizontal="center"/>
    </xf>
    <xf numFmtId="169" fontId="21" fillId="0" borderId="1" xfId="23" applyNumberFormat="1" applyFont="1" applyBorder="1" applyAlignment="1">
      <alignment horizontal="center"/>
    </xf>
    <xf numFmtId="0" fontId="12" fillId="3" borderId="0" xfId="0" applyFont="1" applyFill="1"/>
    <xf numFmtId="165" fontId="13" fillId="3" borderId="0" xfId="23" applyNumberFormat="1" applyFont="1" applyFill="1"/>
    <xf numFmtId="0" fontId="13" fillId="3" borderId="0" xfId="23" applyFont="1" applyFill="1"/>
    <xf numFmtId="0" fontId="7" fillId="3" borderId="0" xfId="23" applyFont="1" applyFill="1" applyAlignment="1">
      <alignment horizontal="right"/>
    </xf>
    <xf numFmtId="10" fontId="7" fillId="3" borderId="0" xfId="23" applyNumberFormat="1" applyFont="1" applyFill="1"/>
    <xf numFmtId="0" fontId="4" fillId="3" borderId="0" xfId="23" applyFont="1" applyFill="1" applyAlignment="1">
      <alignment horizontal="right"/>
    </xf>
    <xf numFmtId="9" fontId="4" fillId="3" borderId="0" xfId="23" applyNumberFormat="1" applyFont="1" applyFill="1" applyAlignment="1">
      <alignment horizontal="left"/>
    </xf>
    <xf numFmtId="9" fontId="5" fillId="3" borderId="0" xfId="23" applyNumberFormat="1" applyFill="1" applyAlignment="1">
      <alignment horizontal="left"/>
    </xf>
    <xf numFmtId="10" fontId="4" fillId="3" borderId="1" xfId="23" applyNumberFormat="1" applyFont="1" applyFill="1" applyBorder="1" applyAlignment="1">
      <alignment horizontal="center"/>
    </xf>
    <xf numFmtId="9" fontId="4" fillId="0" borderId="0" xfId="23" applyNumberFormat="1" applyFont="1" applyAlignment="1">
      <alignment horizontal="left"/>
    </xf>
    <xf numFmtId="9" fontId="5" fillId="0" borderId="0" xfId="23" applyNumberFormat="1" applyAlignment="1">
      <alignment horizontal="left"/>
    </xf>
    <xf numFmtId="0" fontId="17" fillId="3" borderId="0" xfId="23" applyFont="1" applyFill="1" applyAlignment="1">
      <alignment horizontal="center"/>
    </xf>
    <xf numFmtId="0" fontId="4" fillId="3" borderId="0" xfId="23" applyFont="1" applyFill="1"/>
    <xf numFmtId="10" fontId="4" fillId="3" borderId="0" xfId="46" applyNumberFormat="1" applyFont="1" applyFill="1" applyAlignment="1" applyProtection="1">
      <alignment horizontal="center" vertical="top" wrapText="1"/>
    </xf>
    <xf numFmtId="169" fontId="5" fillId="0" borderId="3" xfId="23" applyNumberFormat="1" applyBorder="1" applyAlignment="1">
      <alignment horizontal="center"/>
    </xf>
    <xf numFmtId="169" fontId="5" fillId="0" borderId="4" xfId="23" applyNumberFormat="1" applyBorder="1" applyAlignment="1">
      <alignment horizontal="center"/>
    </xf>
    <xf numFmtId="9" fontId="17" fillId="3" borderId="0" xfId="23" applyNumberFormat="1" applyFont="1" applyFill="1" applyAlignment="1">
      <alignment horizontal="center"/>
    </xf>
    <xf numFmtId="0" fontId="17" fillId="0" borderId="0" xfId="23" applyFont="1" applyAlignment="1">
      <alignment horizontal="center"/>
    </xf>
    <xf numFmtId="0" fontId="24" fillId="3" borderId="0" xfId="0" applyFont="1" applyFill="1"/>
    <xf numFmtId="0" fontId="25" fillId="3" borderId="0" xfId="0" applyFont="1" applyFill="1"/>
    <xf numFmtId="0" fontId="26" fillId="0" borderId="0" xfId="23" applyFont="1"/>
    <xf numFmtId="0" fontId="26" fillId="3" borderId="0" xfId="23" applyFont="1" applyFill="1"/>
    <xf numFmtId="0" fontId="28" fillId="0" borderId="0" xfId="23" applyFont="1"/>
    <xf numFmtId="0" fontId="8" fillId="0" borderId="0" xfId="0" applyFont="1" applyAlignment="1">
      <alignment horizontal="left"/>
    </xf>
    <xf numFmtId="0" fontId="28" fillId="3" borderId="0" xfId="23" applyFont="1" applyFill="1"/>
    <xf numFmtId="0" fontId="9" fillId="4" borderId="0" xfId="23" applyFont="1" applyFill="1"/>
    <xf numFmtId="0" fontId="5" fillId="4" borderId="0" xfId="23" applyFill="1"/>
    <xf numFmtId="0" fontId="4" fillId="4" borderId="0" xfId="23" applyFont="1" applyFill="1"/>
    <xf numFmtId="0" fontId="0" fillId="4" borderId="0" xfId="0" applyFill="1"/>
    <xf numFmtId="173" fontId="4" fillId="3" borderId="1" xfId="47" applyNumberFormat="1" applyFont="1" applyFill="1" applyBorder="1" applyAlignment="1" applyProtection="1">
      <alignment horizontal="center"/>
    </xf>
    <xf numFmtId="0" fontId="21" fillId="0" borderId="0" xfId="23" applyFont="1"/>
    <xf numFmtId="166" fontId="5" fillId="0" borderId="3" xfId="24" applyNumberFormat="1" applyFont="1" applyFill="1" applyBorder="1" applyAlignment="1" applyProtection="1">
      <alignment horizontal="center"/>
    </xf>
    <xf numFmtId="166" fontId="5" fillId="0" borderId="4" xfId="24" applyNumberFormat="1" applyFont="1" applyFill="1" applyBorder="1" applyAlignment="1" applyProtection="1">
      <alignment horizontal="center"/>
    </xf>
    <xf numFmtId="171" fontId="30" fillId="3" borderId="0" xfId="23" applyNumberFormat="1" applyFont="1" applyFill="1" applyAlignment="1">
      <alignment horizontal="center" vertical="center"/>
    </xf>
    <xf numFmtId="171" fontId="4" fillId="0" borderId="1" xfId="23" applyNumberFormat="1" applyFont="1" applyBorder="1" applyAlignment="1">
      <alignment horizontal="center"/>
    </xf>
    <xf numFmtId="171" fontId="17" fillId="0" borderId="1" xfId="23" applyNumberFormat="1" applyFont="1" applyBorder="1" applyAlignment="1">
      <alignment horizontal="center"/>
    </xf>
    <xf numFmtId="1" fontId="16" fillId="0" borderId="7" xfId="23" applyNumberFormat="1" applyFont="1" applyBorder="1" applyAlignment="1" applyProtection="1">
      <alignment horizontal="center" vertical="top" wrapText="1"/>
      <protection locked="0"/>
    </xf>
    <xf numFmtId="1" fontId="4" fillId="0" borderId="7" xfId="23" applyNumberFormat="1" applyFont="1" applyBorder="1" applyAlignment="1">
      <alignment horizontal="center" vertical="center"/>
    </xf>
    <xf numFmtId="0" fontId="8" fillId="0" borderId="0" xfId="0" applyFont="1"/>
    <xf numFmtId="1" fontId="5" fillId="0" borderId="0" xfId="23" applyNumberFormat="1" applyAlignment="1">
      <alignment vertical="top" wrapText="1"/>
    </xf>
    <xf numFmtId="0" fontId="4" fillId="0" borderId="0" xfId="23" applyFont="1"/>
    <xf numFmtId="0" fontId="8" fillId="0" borderId="2" xfId="0" applyFont="1" applyBorder="1" applyAlignment="1">
      <alignment horizontal="left"/>
    </xf>
    <xf numFmtId="10" fontId="4" fillId="0" borderId="0" xfId="23" applyNumberFormat="1" applyFont="1" applyAlignment="1">
      <alignment horizontal="center"/>
    </xf>
    <xf numFmtId="10" fontId="4" fillId="0" borderId="0" xfId="46" applyNumberFormat="1" applyFont="1" applyFill="1" applyAlignment="1" applyProtection="1">
      <alignment horizontal="center" vertical="top" wrapText="1"/>
    </xf>
    <xf numFmtId="173" fontId="4" fillId="0" borderId="1" xfId="47" applyNumberFormat="1" applyFont="1" applyFill="1" applyBorder="1" applyAlignment="1" applyProtection="1">
      <alignment horizontal="center"/>
    </xf>
    <xf numFmtId="0" fontId="11" fillId="0" borderId="0" xfId="0" applyFont="1"/>
    <xf numFmtId="1" fontId="29" fillId="0" borderId="0" xfId="23" applyNumberFormat="1" applyFont="1" applyAlignment="1">
      <alignment vertical="top" wrapText="1"/>
    </xf>
    <xf numFmtId="0" fontId="18" fillId="0" borderId="0" xfId="23" applyFont="1" applyAlignment="1">
      <alignment horizontal="center"/>
    </xf>
    <xf numFmtId="165" fontId="29" fillId="0" borderId="0" xfId="23" applyNumberFormat="1" applyFont="1"/>
    <xf numFmtId="169" fontId="4" fillId="0" borderId="0" xfId="23" applyNumberFormat="1" applyFont="1" applyAlignment="1">
      <alignment horizontal="center"/>
    </xf>
    <xf numFmtId="0" fontId="20" fillId="0" borderId="0" xfId="23" applyFont="1"/>
    <xf numFmtId="0" fontId="19" fillId="0" borderId="0" xfId="23" applyFont="1" applyAlignment="1">
      <alignment horizontal="center"/>
    </xf>
    <xf numFmtId="169" fontId="4" fillId="0" borderId="2" xfId="23" applyNumberFormat="1" applyFont="1" applyBorder="1"/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10" fontId="17" fillId="0" borderId="1" xfId="23" applyNumberFormat="1" applyFont="1" applyBorder="1" applyAlignment="1">
      <alignment horizontal="center" vertical="center" wrapText="1"/>
    </xf>
    <xf numFmtId="165" fontId="5" fillId="0" borderId="0" xfId="23" applyNumberFormat="1"/>
    <xf numFmtId="0" fontId="12" fillId="0" borderId="0" xfId="0" applyFont="1"/>
    <xf numFmtId="165" fontId="13" fillId="0" borderId="0" xfId="23" applyNumberFormat="1" applyFont="1"/>
    <xf numFmtId="0" fontId="13" fillId="0" borderId="0" xfId="23" applyFont="1"/>
    <xf numFmtId="165" fontId="17" fillId="0" borderId="8" xfId="23" applyNumberFormat="1" applyFont="1" applyBorder="1" applyAlignment="1">
      <alignment horizontal="center" vertical="center" wrapText="1"/>
    </xf>
    <xf numFmtId="0" fontId="7" fillId="0" borderId="0" xfId="23" applyFont="1" applyAlignment="1">
      <alignment horizontal="right"/>
    </xf>
    <xf numFmtId="10" fontId="7" fillId="0" borderId="0" xfId="23" applyNumberFormat="1" applyFont="1"/>
    <xf numFmtId="0" fontId="4" fillId="0" borderId="0" xfId="23" applyFont="1" applyAlignment="1">
      <alignment horizontal="right"/>
    </xf>
    <xf numFmtId="9" fontId="17" fillId="0" borderId="0" xfId="23" applyNumberFormat="1" applyFont="1" applyAlignment="1">
      <alignment horizontal="center"/>
    </xf>
    <xf numFmtId="0" fontId="31" fillId="4" borderId="0" xfId="23" applyFont="1" applyFill="1" applyAlignment="1">
      <alignment horizontal="center"/>
    </xf>
    <xf numFmtId="10" fontId="32" fillId="3" borderId="0" xfId="23" applyNumberFormat="1" applyFont="1" applyFill="1" applyAlignment="1">
      <alignment horizontal="center"/>
    </xf>
    <xf numFmtId="0" fontId="9" fillId="3" borderId="9" xfId="23" applyFont="1" applyFill="1" applyBorder="1"/>
    <xf numFmtId="0" fontId="5" fillId="3" borderId="10" xfId="23" applyFill="1" applyBorder="1"/>
    <xf numFmtId="0" fontId="34" fillId="3" borderId="0" xfId="0" applyFont="1" applyFill="1"/>
    <xf numFmtId="165" fontId="17" fillId="5" borderId="8" xfId="23" applyNumberFormat="1" applyFont="1" applyFill="1" applyBorder="1" applyAlignment="1">
      <alignment horizontal="center" vertical="center" wrapText="1"/>
    </xf>
    <xf numFmtId="0" fontId="35" fillId="3" borderId="0" xfId="23" applyFont="1" applyFill="1"/>
    <xf numFmtId="0" fontId="5" fillId="7" borderId="0" xfId="23" applyFill="1"/>
    <xf numFmtId="0" fontId="9" fillId="7" borderId="0" xfId="23" applyFont="1" applyFill="1"/>
    <xf numFmtId="0" fontId="29" fillId="4" borderId="0" xfId="23" applyFont="1" applyFill="1"/>
    <xf numFmtId="0" fontId="33" fillId="0" borderId="0" xfId="23" applyFont="1"/>
    <xf numFmtId="0" fontId="5" fillId="0" borderId="34" xfId="23" applyBorder="1" applyAlignment="1">
      <alignment horizontal="center"/>
    </xf>
    <xf numFmtId="0" fontId="5" fillId="0" borderId="30" xfId="23" applyBorder="1" applyAlignment="1">
      <alignment horizontal="center"/>
    </xf>
    <xf numFmtId="0" fontId="37" fillId="3" borderId="0" xfId="0" applyFont="1" applyFill="1"/>
    <xf numFmtId="14" fontId="5" fillId="0" borderId="1" xfId="23" applyNumberFormat="1" applyBorder="1" applyAlignment="1">
      <alignment horizontal="center"/>
    </xf>
    <xf numFmtId="176" fontId="9" fillId="3" borderId="0" xfId="23" applyNumberFormat="1" applyFont="1" applyFill="1"/>
    <xf numFmtId="0" fontId="38" fillId="4" borderId="0" xfId="0" applyFont="1" applyFill="1"/>
    <xf numFmtId="0" fontId="17" fillId="4" borderId="0" xfId="23" applyFont="1" applyFill="1" applyAlignment="1">
      <alignment horizontal="center"/>
    </xf>
    <xf numFmtId="14" fontId="5" fillId="0" borderId="19" xfId="23" applyNumberFormat="1" applyBorder="1" applyAlignment="1">
      <alignment horizontal="center"/>
    </xf>
    <xf numFmtId="0" fontId="33" fillId="4" borderId="0" xfId="23" applyFont="1" applyFill="1"/>
    <xf numFmtId="0" fontId="33" fillId="4" borderId="0" xfId="23" applyFont="1" applyFill="1" applyAlignment="1">
      <alignment horizontal="right"/>
    </xf>
    <xf numFmtId="0" fontId="0" fillId="0" borderId="0" xfId="0" applyProtection="1">
      <protection hidden="1"/>
    </xf>
    <xf numFmtId="178" fontId="40" fillId="3" borderId="4" xfId="47" applyNumberFormat="1" applyFont="1" applyFill="1" applyBorder="1" applyAlignment="1" applyProtection="1">
      <alignment vertical="center"/>
      <protection hidden="1"/>
    </xf>
    <xf numFmtId="178" fontId="40" fillId="3" borderId="44" xfId="47" applyNumberFormat="1" applyFont="1" applyFill="1" applyBorder="1" applyAlignment="1" applyProtection="1">
      <alignment vertical="center"/>
      <protection hidden="1"/>
    </xf>
    <xf numFmtId="10" fontId="0" fillId="0" borderId="0" xfId="24" applyNumberFormat="1" applyFont="1" applyProtection="1">
      <protection hidden="1"/>
    </xf>
    <xf numFmtId="172" fontId="0" fillId="0" borderId="0" xfId="47" applyNumberFormat="1" applyFont="1" applyProtection="1">
      <protection hidden="1"/>
    </xf>
    <xf numFmtId="178" fontId="0" fillId="0" borderId="30" xfId="47" applyNumberFormat="1" applyFont="1" applyBorder="1" applyProtection="1">
      <protection hidden="1"/>
    </xf>
    <xf numFmtId="178" fontId="0" fillId="0" borderId="34" xfId="47" applyNumberFormat="1" applyFont="1" applyBorder="1" applyProtection="1">
      <protection hidden="1"/>
    </xf>
    <xf numFmtId="178" fontId="0" fillId="0" borderId="40" xfId="47" applyNumberFormat="1" applyFont="1" applyBorder="1" applyProtection="1">
      <protection hidden="1"/>
    </xf>
    <xf numFmtId="0" fontId="0" fillId="6" borderId="39" xfId="0" applyFill="1" applyBorder="1" applyAlignment="1" applyProtection="1">
      <alignment horizontal="center" vertical="center"/>
      <protection hidden="1"/>
    </xf>
    <xf numFmtId="0" fontId="0" fillId="6" borderId="16" xfId="0" applyFill="1" applyBorder="1" applyAlignment="1" applyProtection="1">
      <alignment horizontal="center" vertical="center"/>
      <protection hidden="1"/>
    </xf>
    <xf numFmtId="0" fontId="0" fillId="6" borderId="35" xfId="0" applyFill="1" applyBorder="1" applyAlignment="1" applyProtection="1">
      <alignment horizontal="center" vertical="center"/>
      <protection hidden="1"/>
    </xf>
    <xf numFmtId="178" fontId="40" fillId="3" borderId="1" xfId="47" applyNumberFormat="1" applyFont="1" applyFill="1" applyBorder="1" applyAlignment="1" applyProtection="1">
      <alignment vertical="center"/>
      <protection hidden="1"/>
    </xf>
    <xf numFmtId="178" fontId="40" fillId="3" borderId="18" xfId="47" applyNumberFormat="1" applyFont="1" applyFill="1" applyBorder="1" applyAlignment="1" applyProtection="1">
      <alignment vertical="center"/>
      <protection hidden="1"/>
    </xf>
    <xf numFmtId="178" fontId="40" fillId="3" borderId="19" xfId="47" applyNumberFormat="1" applyFont="1" applyFill="1" applyBorder="1" applyAlignment="1" applyProtection="1">
      <alignment vertical="center"/>
      <protection hidden="1"/>
    </xf>
    <xf numFmtId="178" fontId="40" fillId="3" borderId="37" xfId="47" applyNumberFormat="1" applyFont="1" applyFill="1" applyBorder="1" applyAlignment="1" applyProtection="1">
      <alignment vertical="center"/>
      <protection hidden="1"/>
    </xf>
    <xf numFmtId="178" fontId="40" fillId="3" borderId="12" xfId="47" applyNumberFormat="1" applyFont="1" applyFill="1" applyBorder="1" applyAlignment="1" applyProtection="1">
      <alignment vertical="center"/>
      <protection hidden="1"/>
    </xf>
    <xf numFmtId="178" fontId="40" fillId="3" borderId="41" xfId="47" applyNumberFormat="1" applyFont="1" applyFill="1" applyBorder="1" applyAlignment="1" applyProtection="1">
      <alignment vertical="center"/>
      <protection hidden="1"/>
    </xf>
    <xf numFmtId="178" fontId="40" fillId="3" borderId="42" xfId="47" applyNumberFormat="1" applyFont="1" applyFill="1" applyBorder="1" applyAlignment="1" applyProtection="1">
      <alignment vertical="center"/>
      <protection hidden="1"/>
    </xf>
    <xf numFmtId="178" fontId="40" fillId="3" borderId="43" xfId="47" applyNumberFormat="1" applyFont="1" applyFill="1" applyBorder="1" applyAlignment="1" applyProtection="1">
      <alignment vertical="center"/>
      <protection hidden="1"/>
    </xf>
    <xf numFmtId="178" fontId="40" fillId="3" borderId="11" xfId="47" applyNumberFormat="1" applyFont="1" applyFill="1" applyBorder="1" applyAlignment="1" applyProtection="1">
      <alignment vertical="center"/>
      <protection hidden="1"/>
    </xf>
    <xf numFmtId="178" fontId="40" fillId="3" borderId="24" xfId="47" applyNumberFormat="1" applyFont="1" applyFill="1" applyBorder="1" applyAlignment="1" applyProtection="1">
      <alignment vertical="center"/>
      <protection hidden="1"/>
    </xf>
    <xf numFmtId="0" fontId="0" fillId="8" borderId="0" xfId="0" applyFill="1" applyProtection="1">
      <protection hidden="1"/>
    </xf>
    <xf numFmtId="0" fontId="0" fillId="6" borderId="17" xfId="0" applyFill="1" applyBorder="1" applyAlignment="1" applyProtection="1">
      <alignment horizontal="center" vertical="center"/>
      <protection hidden="1"/>
    </xf>
    <xf numFmtId="178" fontId="40" fillId="3" borderId="15" xfId="47" applyNumberFormat="1" applyFont="1" applyFill="1" applyBorder="1" applyAlignment="1" applyProtection="1">
      <alignment vertical="center"/>
      <protection hidden="1"/>
    </xf>
    <xf numFmtId="178" fontId="40" fillId="3" borderId="16" xfId="47" applyNumberFormat="1" applyFont="1" applyFill="1" applyBorder="1" applyAlignment="1" applyProtection="1">
      <alignment vertical="center"/>
      <protection hidden="1"/>
    </xf>
    <xf numFmtId="178" fontId="40" fillId="3" borderId="17" xfId="47" applyNumberFormat="1" applyFont="1" applyFill="1" applyBorder="1" applyAlignment="1" applyProtection="1">
      <alignment vertical="center"/>
      <protection hidden="1"/>
    </xf>
    <xf numFmtId="178" fontId="0" fillId="0" borderId="7" xfId="47" applyNumberFormat="1" applyFont="1" applyBorder="1" applyProtection="1">
      <protection hidden="1"/>
    </xf>
    <xf numFmtId="178" fontId="40" fillId="3" borderId="46" xfId="47" applyNumberFormat="1" applyFont="1" applyFill="1" applyBorder="1" applyAlignment="1" applyProtection="1">
      <alignment vertical="center"/>
      <protection hidden="1"/>
    </xf>
    <xf numFmtId="178" fontId="40" fillId="3" borderId="38" xfId="47" applyNumberFormat="1" applyFont="1" applyFill="1" applyBorder="1" applyAlignment="1" applyProtection="1">
      <alignment vertical="center"/>
      <protection hidden="1"/>
    </xf>
    <xf numFmtId="178" fontId="40" fillId="3" borderId="33" xfId="47" applyNumberFormat="1" applyFont="1" applyFill="1" applyBorder="1" applyAlignment="1" applyProtection="1">
      <alignment vertical="center"/>
      <protection hidden="1"/>
    </xf>
    <xf numFmtId="0" fontId="40" fillId="3" borderId="22" xfId="0" applyFont="1" applyFill="1" applyBorder="1" applyAlignment="1" applyProtection="1">
      <alignment vertical="center"/>
      <protection hidden="1"/>
    </xf>
    <xf numFmtId="0" fontId="40" fillId="3" borderId="21" xfId="0" applyFont="1" applyFill="1" applyBorder="1" applyAlignment="1" applyProtection="1">
      <alignment vertical="center"/>
      <protection hidden="1"/>
    </xf>
    <xf numFmtId="0" fontId="40" fillId="3" borderId="45" xfId="0" applyFont="1" applyFill="1" applyBorder="1" applyAlignment="1" applyProtection="1">
      <alignment vertical="center"/>
      <protection hidden="1"/>
    </xf>
    <xf numFmtId="0" fontId="40" fillId="3" borderId="7" xfId="0" applyFont="1" applyFill="1" applyBorder="1" applyAlignment="1" applyProtection="1">
      <alignment vertical="center"/>
      <protection hidden="1"/>
    </xf>
    <xf numFmtId="0" fontId="22" fillId="0" borderId="1" xfId="0" applyFont="1" applyBorder="1" applyProtection="1">
      <protection hidden="1"/>
    </xf>
    <xf numFmtId="0" fontId="22" fillId="8" borderId="1" xfId="0" applyFont="1" applyFill="1" applyBorder="1" applyProtection="1">
      <protection locked="0" hidden="1"/>
    </xf>
    <xf numFmtId="0" fontId="0" fillId="0" borderId="1" xfId="0" applyBorder="1" applyProtection="1">
      <protection locked="0" hidden="1"/>
    </xf>
    <xf numFmtId="0" fontId="0" fillId="0" borderId="1" xfId="0" applyBorder="1" applyProtection="1">
      <protection hidden="1"/>
    </xf>
    <xf numFmtId="0" fontId="0" fillId="8" borderId="1" xfId="0" applyFill="1" applyBorder="1" applyProtection="1">
      <protection locked="0" hidden="1"/>
    </xf>
    <xf numFmtId="0" fontId="38" fillId="0" borderId="0" xfId="0" applyFont="1" applyProtection="1">
      <protection hidden="1"/>
    </xf>
    <xf numFmtId="1" fontId="29" fillId="4" borderId="0" xfId="23" applyNumberFormat="1" applyFont="1" applyFill="1" applyAlignment="1">
      <alignment vertical="top" wrapText="1"/>
    </xf>
    <xf numFmtId="165" fontId="29" fillId="4" borderId="0" xfId="23" applyNumberFormat="1" applyFont="1" applyFill="1"/>
    <xf numFmtId="14" fontId="41" fillId="3" borderId="0" xfId="23" applyNumberFormat="1" applyFont="1" applyFill="1" applyAlignment="1">
      <alignment horizontal="center"/>
    </xf>
    <xf numFmtId="165" fontId="17" fillId="5" borderId="31" xfId="23" applyNumberFormat="1" applyFont="1" applyFill="1" applyBorder="1" applyAlignment="1">
      <alignment horizontal="center" vertical="center" wrapText="1"/>
    </xf>
    <xf numFmtId="1" fontId="4" fillId="3" borderId="0" xfId="23" applyNumberFormat="1" applyFont="1" applyFill="1" applyAlignment="1">
      <alignment horizontal="center" vertical="center"/>
    </xf>
    <xf numFmtId="166" fontId="4" fillId="0" borderId="0" xfId="23" applyNumberFormat="1" applyFont="1" applyAlignment="1">
      <alignment horizontal="center"/>
    </xf>
    <xf numFmtId="10" fontId="17" fillId="0" borderId="0" xfId="23" applyNumberFormat="1" applyFont="1" applyAlignment="1">
      <alignment horizontal="center"/>
    </xf>
    <xf numFmtId="0" fontId="5" fillId="0" borderId="40" xfId="23" applyBorder="1" applyAlignment="1">
      <alignment horizontal="center"/>
    </xf>
    <xf numFmtId="14" fontId="5" fillId="0" borderId="16" xfId="23" applyNumberFormat="1" applyBorder="1" applyAlignment="1">
      <alignment horizontal="center"/>
    </xf>
    <xf numFmtId="2" fontId="5" fillId="0" borderId="19" xfId="23" applyNumberFormat="1" applyBorder="1" applyAlignment="1">
      <alignment horizontal="center"/>
    </xf>
    <xf numFmtId="167" fontId="5" fillId="0" borderId="19" xfId="23" applyNumberFormat="1" applyBorder="1" applyAlignment="1">
      <alignment horizontal="center"/>
    </xf>
    <xf numFmtId="2" fontId="5" fillId="0" borderId="1" xfId="23" applyNumberFormat="1" applyBorder="1" applyAlignment="1">
      <alignment horizontal="center"/>
    </xf>
    <xf numFmtId="0" fontId="5" fillId="9" borderId="0" xfId="23" applyFill="1"/>
    <xf numFmtId="168" fontId="10" fillId="2" borderId="7" xfId="23" applyNumberFormat="1" applyFont="1" applyFill="1" applyBorder="1" applyAlignment="1">
      <alignment horizontal="center" vertical="center"/>
    </xf>
    <xf numFmtId="10" fontId="4" fillId="0" borderId="47" xfId="23" applyNumberFormat="1" applyFont="1" applyBorder="1"/>
    <xf numFmtId="10" fontId="4" fillId="0" borderId="0" xfId="23" applyNumberFormat="1" applyFont="1"/>
    <xf numFmtId="178" fontId="43" fillId="10" borderId="1" xfId="47" applyNumberFormat="1" applyFont="1" applyFill="1" applyBorder="1" applyAlignment="1" applyProtection="1">
      <alignment horizontal="center" vertical="top" wrapText="1"/>
      <protection locked="0"/>
    </xf>
    <xf numFmtId="0" fontId="0" fillId="8" borderId="0" xfId="0" applyFill="1" applyAlignment="1" applyProtection="1">
      <alignment horizontal="center"/>
      <protection hidden="1"/>
    </xf>
    <xf numFmtId="0" fontId="0" fillId="0" borderId="0" xfId="0" applyAlignment="1" applyProtection="1">
      <alignment horizontal="center" wrapText="1"/>
      <protection hidden="1"/>
    </xf>
    <xf numFmtId="0" fontId="14" fillId="0" borderId="33" xfId="0" applyFont="1" applyBorder="1" applyAlignment="1">
      <alignment vertical="center"/>
    </xf>
    <xf numFmtId="0" fontId="0" fillId="11" borderId="1" xfId="0" applyFill="1" applyBorder="1" applyProtection="1">
      <protection hidden="1"/>
    </xf>
    <xf numFmtId="10" fontId="0" fillId="11" borderId="1" xfId="24" applyNumberFormat="1" applyFont="1" applyFill="1" applyBorder="1" applyProtection="1">
      <protection hidden="1"/>
    </xf>
    <xf numFmtId="4" fontId="3" fillId="11" borderId="1" xfId="2" applyNumberFormat="1" applyFill="1" applyBorder="1" applyAlignment="1" applyProtection="1">
      <alignment horizontal="center"/>
      <protection hidden="1"/>
    </xf>
    <xf numFmtId="174" fontId="3" fillId="11" borderId="1" xfId="49" applyNumberFormat="1" applyFont="1" applyFill="1" applyBorder="1" applyAlignment="1">
      <alignment horizontal="center"/>
    </xf>
    <xf numFmtId="175" fontId="3" fillId="11" borderId="1" xfId="24" applyNumberFormat="1" applyFont="1" applyFill="1" applyBorder="1" applyAlignment="1" applyProtection="1">
      <alignment horizontal="right"/>
      <protection hidden="1"/>
    </xf>
    <xf numFmtId="0" fontId="45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2" fillId="0" borderId="3" xfId="0" applyFont="1" applyBorder="1" applyAlignment="1">
      <alignment horizontal="left" vertical="center"/>
    </xf>
    <xf numFmtId="178" fontId="43" fillId="0" borderId="1" xfId="47" applyNumberFormat="1" applyFont="1" applyFill="1" applyBorder="1" applyAlignment="1" applyProtection="1">
      <alignment horizontal="center" vertical="top" wrapText="1"/>
      <protection locked="0"/>
    </xf>
    <xf numFmtId="0" fontId="15" fillId="0" borderId="0" xfId="0" applyFont="1"/>
    <xf numFmtId="10" fontId="10" fillId="12" borderId="7" xfId="23" applyNumberFormat="1" applyFont="1" applyFill="1" applyBorder="1" applyAlignment="1">
      <alignment horizontal="center" vertical="center"/>
    </xf>
    <xf numFmtId="169" fontId="10" fillId="0" borderId="1" xfId="23" applyNumberFormat="1" applyFont="1" applyBorder="1" applyAlignment="1">
      <alignment horizontal="center"/>
    </xf>
    <xf numFmtId="0" fontId="0" fillId="0" borderId="0" xfId="0" applyAlignment="1" applyProtection="1">
      <alignment vertical="center" wrapText="1"/>
      <protection hidden="1"/>
    </xf>
    <xf numFmtId="14" fontId="28" fillId="3" borderId="0" xfId="23" applyNumberFormat="1" applyFont="1" applyFill="1"/>
    <xf numFmtId="0" fontId="0" fillId="6" borderId="25" xfId="0" applyFill="1" applyBorder="1" applyAlignment="1" applyProtection="1">
      <alignment horizontal="center" vertical="center"/>
      <protection hidden="1"/>
    </xf>
    <xf numFmtId="0" fontId="0" fillId="6" borderId="29" xfId="0" applyFill="1" applyBorder="1" applyAlignment="1" applyProtection="1">
      <alignment horizontal="center" vertical="center"/>
      <protection hidden="1"/>
    </xf>
    <xf numFmtId="0" fontId="0" fillId="6" borderId="11" xfId="0" applyFill="1" applyBorder="1" applyAlignment="1" applyProtection="1">
      <alignment horizontal="center" vertical="center"/>
      <protection hidden="1"/>
    </xf>
    <xf numFmtId="0" fontId="0" fillId="6" borderId="19" xfId="0" applyFill="1" applyBorder="1" applyAlignment="1" applyProtection="1">
      <alignment horizontal="center" vertical="center"/>
      <protection hidden="1"/>
    </xf>
    <xf numFmtId="0" fontId="0" fillId="6" borderId="36" xfId="0" applyFill="1" applyBorder="1" applyAlignment="1" applyProtection="1">
      <alignment horizontal="center" vertical="center"/>
      <protection hidden="1"/>
    </xf>
    <xf numFmtId="0" fontId="0" fillId="6" borderId="37" xfId="0" applyFill="1" applyBorder="1" applyAlignment="1" applyProtection="1">
      <alignment horizontal="center" vertical="center"/>
      <protection hidden="1"/>
    </xf>
    <xf numFmtId="0" fontId="0" fillId="6" borderId="22" xfId="0" applyFill="1" applyBorder="1" applyAlignment="1" applyProtection="1">
      <alignment horizontal="center" vertical="center"/>
      <protection hidden="1"/>
    </xf>
    <xf numFmtId="0" fontId="0" fillId="6" borderId="45" xfId="0" applyFill="1" applyBorder="1" applyAlignment="1" applyProtection="1">
      <alignment horizontal="center" vertical="center"/>
      <protection hidden="1"/>
    </xf>
    <xf numFmtId="0" fontId="0" fillId="0" borderId="26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39" fillId="6" borderId="31" xfId="0" applyFont="1" applyFill="1" applyBorder="1" applyAlignment="1" applyProtection="1">
      <alignment horizontal="center" vertical="center"/>
      <protection hidden="1"/>
    </xf>
    <xf numFmtId="0" fontId="39" fillId="6" borderId="32" xfId="0" applyFont="1" applyFill="1" applyBorder="1" applyAlignment="1" applyProtection="1">
      <alignment horizontal="center" vertical="center"/>
      <protection hidden="1"/>
    </xf>
    <xf numFmtId="0" fontId="39" fillId="6" borderId="33" xfId="0" applyFont="1" applyFill="1" applyBorder="1" applyAlignment="1" applyProtection="1">
      <alignment horizontal="center" vertical="center"/>
      <protection hidden="1"/>
    </xf>
    <xf numFmtId="0" fontId="0" fillId="6" borderId="25" xfId="0" applyFill="1" applyBorder="1" applyAlignment="1" applyProtection="1">
      <alignment horizontal="center" vertical="center" wrapText="1"/>
      <protection hidden="1"/>
    </xf>
    <xf numFmtId="0" fontId="0" fillId="6" borderId="8" xfId="0" applyFill="1" applyBorder="1" applyAlignment="1" applyProtection="1">
      <alignment horizontal="center" vertical="center" wrapText="1"/>
      <protection hidden="1"/>
    </xf>
    <xf numFmtId="166" fontId="5" fillId="3" borderId="0" xfId="46" applyNumberFormat="1" applyFont="1" applyFill="1" applyAlignment="1" applyProtection="1">
      <alignment horizontal="left"/>
    </xf>
    <xf numFmtId="4" fontId="17" fillId="0" borderId="1" xfId="23" applyNumberFormat="1" applyFont="1" applyBorder="1" applyAlignment="1">
      <alignment horizontal="center"/>
    </xf>
    <xf numFmtId="4" fontId="17" fillId="0" borderId="16" xfId="23" applyNumberFormat="1" applyFont="1" applyBorder="1" applyAlignment="1">
      <alignment horizontal="center"/>
    </xf>
    <xf numFmtId="0" fontId="15" fillId="6" borderId="31" xfId="0" applyFont="1" applyFill="1" applyBorder="1" applyAlignment="1">
      <alignment horizontal="left" vertical="center"/>
    </xf>
    <xf numFmtId="0" fontId="39" fillId="0" borderId="32" xfId="0" applyFont="1" applyBorder="1" applyAlignment="1">
      <alignment horizontal="left" vertical="center"/>
    </xf>
    <xf numFmtId="0" fontId="39" fillId="0" borderId="33" xfId="0" applyFont="1" applyBorder="1" applyAlignment="1">
      <alignment horizontal="left" vertical="center"/>
    </xf>
    <xf numFmtId="0" fontId="10" fillId="2" borderId="31" xfId="23" applyFont="1" applyFill="1" applyBorder="1" applyAlignment="1">
      <alignment horizontal="left" vertical="center"/>
    </xf>
    <xf numFmtId="0" fontId="10" fillId="2" borderId="33" xfId="23" applyFont="1" applyFill="1" applyBorder="1" applyAlignment="1">
      <alignment horizontal="left" vertical="center"/>
    </xf>
    <xf numFmtId="168" fontId="10" fillId="2" borderId="31" xfId="23" applyNumberFormat="1" applyFont="1" applyFill="1" applyBorder="1" applyAlignment="1">
      <alignment horizontal="center" vertical="center"/>
    </xf>
    <xf numFmtId="168" fontId="10" fillId="2" borderId="33" xfId="23" applyNumberFormat="1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10" fontId="17" fillId="0" borderId="0" xfId="23" applyNumberFormat="1" applyFont="1" applyAlignment="1">
      <alignment horizontal="center"/>
    </xf>
    <xf numFmtId="165" fontId="17" fillId="5" borderId="31" xfId="23" applyNumberFormat="1" applyFont="1" applyFill="1" applyBorder="1" applyAlignment="1">
      <alignment horizontal="center" vertical="center" wrapText="1"/>
    </xf>
    <xf numFmtId="165" fontId="17" fillId="5" borderId="33" xfId="23" applyNumberFormat="1" applyFont="1" applyFill="1" applyBorder="1" applyAlignment="1">
      <alignment horizontal="center" vertical="center" wrapText="1"/>
    </xf>
    <xf numFmtId="4" fontId="31" fillId="3" borderId="10" xfId="23" applyNumberFormat="1" applyFont="1" applyFill="1" applyBorder="1" applyAlignment="1">
      <alignment horizontal="center"/>
    </xf>
    <xf numFmtId="4" fontId="31" fillId="3" borderId="26" xfId="23" applyNumberFormat="1" applyFont="1" applyFill="1" applyBorder="1" applyAlignment="1">
      <alignment horizontal="center"/>
    </xf>
    <xf numFmtId="0" fontId="14" fillId="5" borderId="31" xfId="0" applyFont="1" applyFill="1" applyBorder="1" applyAlignment="1">
      <alignment horizontal="center" vertical="center"/>
    </xf>
    <xf numFmtId="0" fontId="14" fillId="5" borderId="32" xfId="0" applyFont="1" applyFill="1" applyBorder="1" applyAlignment="1">
      <alignment horizontal="center" vertical="center"/>
    </xf>
    <xf numFmtId="0" fontId="14" fillId="5" borderId="33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left"/>
    </xf>
    <xf numFmtId="0" fontId="8" fillId="6" borderId="2" xfId="0" applyFont="1" applyFill="1" applyBorder="1" applyAlignment="1">
      <alignment horizontal="left"/>
    </xf>
    <xf numFmtId="0" fontId="8" fillId="6" borderId="4" xfId="0" applyFont="1" applyFill="1" applyBorder="1" applyAlignment="1">
      <alignment horizontal="left"/>
    </xf>
    <xf numFmtId="0" fontId="9" fillId="0" borderId="47" xfId="23" applyFont="1" applyBorder="1" applyAlignment="1">
      <alignment horizontal="center"/>
    </xf>
    <xf numFmtId="0" fontId="9" fillId="0" borderId="0" xfId="23" applyFont="1" applyAlignment="1">
      <alignment horizontal="center"/>
    </xf>
    <xf numFmtId="171" fontId="17" fillId="0" borderId="0" xfId="23" applyNumberFormat="1" applyFont="1" applyAlignment="1">
      <alignment horizontal="center"/>
    </xf>
    <xf numFmtId="0" fontId="4" fillId="9" borderId="5" xfId="23" applyFont="1" applyFill="1" applyBorder="1" applyAlignment="1">
      <alignment horizontal="center"/>
    </xf>
    <xf numFmtId="0" fontId="17" fillId="5" borderId="9" xfId="23" applyFont="1" applyFill="1" applyBorder="1" applyAlignment="1" applyProtection="1">
      <alignment horizontal="center" vertical="center"/>
      <protection locked="0"/>
    </xf>
    <xf numFmtId="0" fontId="17" fillId="5" borderId="26" xfId="23" applyFont="1" applyFill="1" applyBorder="1" applyAlignment="1" applyProtection="1">
      <alignment horizontal="center" vertical="center"/>
      <protection locked="0"/>
    </xf>
    <xf numFmtId="10" fontId="36" fillId="4" borderId="0" xfId="23" applyNumberFormat="1" applyFont="1" applyFill="1" applyAlignment="1">
      <alignment horizontal="center" vertical="center" wrapText="1"/>
    </xf>
    <xf numFmtId="10" fontId="23" fillId="5" borderId="27" xfId="23" applyNumberFormat="1" applyFont="1" applyFill="1" applyBorder="1" applyAlignment="1">
      <alignment horizontal="center" vertical="center"/>
    </xf>
    <xf numFmtId="10" fontId="23" fillId="5" borderId="28" xfId="23" applyNumberFormat="1" applyFont="1" applyFill="1" applyBorder="1" applyAlignment="1">
      <alignment horizontal="center" vertical="center"/>
    </xf>
    <xf numFmtId="0" fontId="45" fillId="9" borderId="31" xfId="0" applyFont="1" applyFill="1" applyBorder="1" applyAlignment="1">
      <alignment horizontal="left" vertical="center"/>
    </xf>
    <xf numFmtId="0" fontId="42" fillId="9" borderId="32" xfId="0" applyFont="1" applyFill="1" applyBorder="1" applyAlignment="1">
      <alignment horizontal="left" vertical="center"/>
    </xf>
    <xf numFmtId="0" fontId="42" fillId="9" borderId="38" xfId="0" applyFont="1" applyFill="1" applyBorder="1" applyAlignment="1">
      <alignment horizontal="left" vertical="center"/>
    </xf>
    <xf numFmtId="0" fontId="8" fillId="0" borderId="14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27" fillId="0" borderId="1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left" vertical="center"/>
    </xf>
    <xf numFmtId="0" fontId="15" fillId="0" borderId="32" xfId="0" applyFont="1" applyBorder="1" applyAlignment="1">
      <alignment horizontal="left" vertical="center"/>
    </xf>
    <xf numFmtId="0" fontId="15" fillId="0" borderId="33" xfId="0" applyFont="1" applyBorder="1" applyAlignment="1">
      <alignment horizontal="left" vertical="center"/>
    </xf>
    <xf numFmtId="0" fontId="8" fillId="0" borderId="13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166" fontId="5" fillId="0" borderId="0" xfId="46" applyNumberFormat="1" applyFont="1" applyFill="1" applyAlignment="1" applyProtection="1">
      <alignment horizontal="left"/>
    </xf>
    <xf numFmtId="165" fontId="17" fillId="0" borderId="31" xfId="23" applyNumberFormat="1" applyFont="1" applyBorder="1" applyAlignment="1">
      <alignment horizontal="center" vertical="center" wrapText="1"/>
    </xf>
    <xf numFmtId="165" fontId="17" fillId="0" borderId="33" xfId="23" applyNumberFormat="1" applyFont="1" applyBorder="1" applyAlignment="1">
      <alignment horizontal="center" vertical="center" wrapText="1"/>
    </xf>
    <xf numFmtId="165" fontId="17" fillId="0" borderId="30" xfId="23" applyNumberFormat="1" applyFont="1" applyBorder="1" applyAlignment="1">
      <alignment horizontal="center" vertical="center" wrapText="1"/>
    </xf>
    <xf numFmtId="165" fontId="17" fillId="0" borderId="23" xfId="23" applyNumberFormat="1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</cellXfs>
  <cellStyles count="75">
    <cellStyle name="Відсотковий" xfId="24" builtinId="5"/>
    <cellStyle name="Денежный 2" xfId="50" xr:uid="{00000000-0005-0000-0000-000000000000}"/>
    <cellStyle name="Звичайний" xfId="0" builtinId="0"/>
    <cellStyle name="Обычный 17" xfId="1" xr:uid="{00000000-0005-0000-0000-000002000000}"/>
    <cellStyle name="Обычный 17 2" xfId="52" xr:uid="{00000000-0005-0000-0000-000003000000}"/>
    <cellStyle name="Обычный 2" xfId="2" xr:uid="{00000000-0005-0000-0000-000004000000}"/>
    <cellStyle name="Обычный 2 10" xfId="3" xr:uid="{00000000-0005-0000-0000-000005000000}"/>
    <cellStyle name="Обычный 2 10 2" xfId="53" xr:uid="{00000000-0005-0000-0000-000006000000}"/>
    <cellStyle name="Обычный 2 11" xfId="4" xr:uid="{00000000-0005-0000-0000-000007000000}"/>
    <cellStyle name="Обычный 2 11 2" xfId="54" xr:uid="{00000000-0005-0000-0000-000008000000}"/>
    <cellStyle name="Обычный 2 12" xfId="5" xr:uid="{00000000-0005-0000-0000-000009000000}"/>
    <cellStyle name="Обычный 2 12 2" xfId="55" xr:uid="{00000000-0005-0000-0000-00000A000000}"/>
    <cellStyle name="Обычный 2 13" xfId="6" xr:uid="{00000000-0005-0000-0000-00000B000000}"/>
    <cellStyle name="Обычный 2 13 2" xfId="56" xr:uid="{00000000-0005-0000-0000-00000C000000}"/>
    <cellStyle name="Обычный 2 14" xfId="7" xr:uid="{00000000-0005-0000-0000-00000D000000}"/>
    <cellStyle name="Обычный 2 14 2" xfId="57" xr:uid="{00000000-0005-0000-0000-00000E000000}"/>
    <cellStyle name="Обычный 2 15" xfId="8" xr:uid="{00000000-0005-0000-0000-00000F000000}"/>
    <cellStyle name="Обычный 2 15 2" xfId="58" xr:uid="{00000000-0005-0000-0000-000010000000}"/>
    <cellStyle name="Обычный 2 16" xfId="9" xr:uid="{00000000-0005-0000-0000-000011000000}"/>
    <cellStyle name="Обычный 2 16 2" xfId="59" xr:uid="{00000000-0005-0000-0000-000012000000}"/>
    <cellStyle name="Обычный 2 17" xfId="10" xr:uid="{00000000-0005-0000-0000-000013000000}"/>
    <cellStyle name="Обычный 2 17 2" xfId="60" xr:uid="{00000000-0005-0000-0000-000014000000}"/>
    <cellStyle name="Обычный 2 18" xfId="11" xr:uid="{00000000-0005-0000-0000-000015000000}"/>
    <cellStyle name="Обычный 2 18 2" xfId="61" xr:uid="{00000000-0005-0000-0000-000016000000}"/>
    <cellStyle name="Обычный 2 19" xfId="12" xr:uid="{00000000-0005-0000-0000-000017000000}"/>
    <cellStyle name="Обычный 2 19 2" xfId="62" xr:uid="{00000000-0005-0000-0000-000018000000}"/>
    <cellStyle name="Обычный 2 2" xfId="13" xr:uid="{00000000-0005-0000-0000-000019000000}"/>
    <cellStyle name="Обычный 2 2 2" xfId="63" xr:uid="{00000000-0005-0000-0000-00001A000000}"/>
    <cellStyle name="Обычный 2 20" xfId="14" xr:uid="{00000000-0005-0000-0000-00001B000000}"/>
    <cellStyle name="Обычный 2 20 2" xfId="64" xr:uid="{00000000-0005-0000-0000-00001C000000}"/>
    <cellStyle name="Обычный 2 21" xfId="15" xr:uid="{00000000-0005-0000-0000-00001D000000}"/>
    <cellStyle name="Обычный 2 21 2" xfId="65" xr:uid="{00000000-0005-0000-0000-00001E000000}"/>
    <cellStyle name="Обычный 2 3" xfId="16" xr:uid="{00000000-0005-0000-0000-00001F000000}"/>
    <cellStyle name="Обычный 2 3 2" xfId="66" xr:uid="{00000000-0005-0000-0000-000020000000}"/>
    <cellStyle name="Обычный 2 4" xfId="17" xr:uid="{00000000-0005-0000-0000-000021000000}"/>
    <cellStyle name="Обычный 2 4 2" xfId="67" xr:uid="{00000000-0005-0000-0000-000022000000}"/>
    <cellStyle name="Обычный 2 5" xfId="18" xr:uid="{00000000-0005-0000-0000-000023000000}"/>
    <cellStyle name="Обычный 2 5 2" xfId="68" xr:uid="{00000000-0005-0000-0000-000024000000}"/>
    <cellStyle name="Обычный 2 6" xfId="19" xr:uid="{00000000-0005-0000-0000-000025000000}"/>
    <cellStyle name="Обычный 2 6 2" xfId="69" xr:uid="{00000000-0005-0000-0000-000026000000}"/>
    <cellStyle name="Обычный 2 7" xfId="20" xr:uid="{00000000-0005-0000-0000-000027000000}"/>
    <cellStyle name="Обычный 2 7 2" xfId="70" xr:uid="{00000000-0005-0000-0000-000028000000}"/>
    <cellStyle name="Обычный 2 8" xfId="21" xr:uid="{00000000-0005-0000-0000-000029000000}"/>
    <cellStyle name="Обычный 2 8 2" xfId="71" xr:uid="{00000000-0005-0000-0000-00002A000000}"/>
    <cellStyle name="Обычный 2 9" xfId="22" xr:uid="{00000000-0005-0000-0000-00002B000000}"/>
    <cellStyle name="Обычный 2 9 2" xfId="72" xr:uid="{00000000-0005-0000-0000-00002C000000}"/>
    <cellStyle name="Обычный 3" xfId="51" xr:uid="{00000000-0005-0000-0000-00002D000000}"/>
    <cellStyle name="Обычный 3 2" xfId="74" xr:uid="{00000000-0005-0000-0000-00002E000000}"/>
    <cellStyle name="Обычный_Nedootrumani_dohodu" xfId="23" xr:uid="{00000000-0005-0000-0000-00002F000000}"/>
    <cellStyle name="Процентный 2" xfId="25" xr:uid="{00000000-0005-0000-0000-000031000000}"/>
    <cellStyle name="Процентный 2 10" xfId="26" xr:uid="{00000000-0005-0000-0000-000032000000}"/>
    <cellStyle name="Процентный 2 11" xfId="27" xr:uid="{00000000-0005-0000-0000-000033000000}"/>
    <cellStyle name="Процентный 2 12" xfId="28" xr:uid="{00000000-0005-0000-0000-000034000000}"/>
    <cellStyle name="Процентный 2 13" xfId="29" xr:uid="{00000000-0005-0000-0000-000035000000}"/>
    <cellStyle name="Процентный 2 14" xfId="30" xr:uid="{00000000-0005-0000-0000-000036000000}"/>
    <cellStyle name="Процентный 2 15" xfId="31" xr:uid="{00000000-0005-0000-0000-000037000000}"/>
    <cellStyle name="Процентный 2 16" xfId="32" xr:uid="{00000000-0005-0000-0000-000038000000}"/>
    <cellStyle name="Процентный 2 17" xfId="33" xr:uid="{00000000-0005-0000-0000-000039000000}"/>
    <cellStyle name="Процентный 2 18" xfId="34" xr:uid="{00000000-0005-0000-0000-00003A000000}"/>
    <cellStyle name="Процентный 2 19" xfId="35" xr:uid="{00000000-0005-0000-0000-00003B000000}"/>
    <cellStyle name="Процентный 2 2" xfId="36" xr:uid="{00000000-0005-0000-0000-00003C000000}"/>
    <cellStyle name="Процентный 2 20" xfId="37" xr:uid="{00000000-0005-0000-0000-00003D000000}"/>
    <cellStyle name="Процентный 2 21" xfId="38" xr:uid="{00000000-0005-0000-0000-00003E000000}"/>
    <cellStyle name="Процентный 2 3" xfId="39" xr:uid="{00000000-0005-0000-0000-00003F000000}"/>
    <cellStyle name="Процентный 2 4" xfId="40" xr:uid="{00000000-0005-0000-0000-000040000000}"/>
    <cellStyle name="Процентный 2 5" xfId="41" xr:uid="{00000000-0005-0000-0000-000041000000}"/>
    <cellStyle name="Процентный 2 6" xfId="42" xr:uid="{00000000-0005-0000-0000-000042000000}"/>
    <cellStyle name="Процентный 2 7" xfId="43" xr:uid="{00000000-0005-0000-0000-000043000000}"/>
    <cellStyle name="Процентный 2 8" xfId="44" xr:uid="{00000000-0005-0000-0000-000044000000}"/>
    <cellStyle name="Процентный 2 9" xfId="45" xr:uid="{00000000-0005-0000-0000-000045000000}"/>
    <cellStyle name="Процентный 3" xfId="46" xr:uid="{00000000-0005-0000-0000-000046000000}"/>
    <cellStyle name="Процентный 3 2" xfId="49" xr:uid="{00000000-0005-0000-0000-000047000000}"/>
    <cellStyle name="Финансовый 2" xfId="48" xr:uid="{00000000-0005-0000-0000-000049000000}"/>
    <cellStyle name="Финансовый 2 2" xfId="73" xr:uid="{00000000-0005-0000-0000-00004A000000}"/>
    <cellStyle name="Фінансовий" xfId="47" builtinId="3"/>
  </cellStyles>
  <dxfs count="0"/>
  <tableStyles count="0" defaultTableStyle="TableStyleMedium9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1050;&#1072;&#1083;&#1100;&#1082;&#1091;&#1083;&#1103;&#1090;&#1086;&#1088;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ideabank.com.u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175933</xdr:colOff>
      <xdr:row>6</xdr:row>
      <xdr:rowOff>132791</xdr:rowOff>
    </xdr:from>
    <xdr:to>
      <xdr:col>20</xdr:col>
      <xdr:colOff>388938</xdr:colOff>
      <xdr:row>8</xdr:row>
      <xdr:rowOff>123265</xdr:rowOff>
    </xdr:to>
    <xdr:sp macro="" textlink="">
      <xdr:nvSpPr>
        <xdr:cNvPr id="2" name="Стрелка вправо с вырезо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384492" y="1365438"/>
          <a:ext cx="2028358" cy="304239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uk-UA" sz="1200" b="1" u="sng">
              <a:solidFill>
                <a:sysClr val="windowText" lastClr="000000"/>
              </a:solidFill>
            </a:rPr>
            <a:t>Натисніть, щоб перейти до калькулятора</a:t>
          </a:r>
          <a:endParaRPr lang="ru-RU" sz="1200" b="1" u="sng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755836</xdr:colOff>
      <xdr:row>0</xdr:row>
      <xdr:rowOff>45945</xdr:rowOff>
    </xdr:from>
    <xdr:to>
      <xdr:col>2</xdr:col>
      <xdr:colOff>248369</xdr:colOff>
      <xdr:row>2</xdr:row>
      <xdr:rowOff>97652</xdr:rowOff>
    </xdr:to>
    <xdr:pic>
      <xdr:nvPicPr>
        <xdr:cNvPr id="3" name="Picture 1" descr="IdeaBank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60954" y="45945"/>
          <a:ext cx="2047474" cy="365472"/>
        </a:xfrm>
        <a:prstGeom prst="rect">
          <a:avLst/>
        </a:prstGeom>
        <a:solidFill>
          <a:srgbClr val="A6A6A6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3</xdr:col>
      <xdr:colOff>567690</xdr:colOff>
      <xdr:row>3</xdr:row>
      <xdr:rowOff>110490</xdr:rowOff>
    </xdr:to>
    <xdr:pic>
      <xdr:nvPicPr>
        <xdr:cNvPr id="3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100" y="57150"/>
          <a:ext cx="19526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B3:Q21"/>
  <sheetViews>
    <sheetView view="pageBreakPreview" zoomScale="85" zoomScaleNormal="100" zoomScaleSheetLayoutView="85" workbookViewId="0">
      <selection activeCell="E9" sqref="E9"/>
    </sheetView>
  </sheetViews>
  <sheetFormatPr defaultColWidth="9.140625" defaultRowHeight="12.75" x14ac:dyDescent="0.2"/>
  <cols>
    <col min="1" max="1" width="9.140625" style="110"/>
    <col min="2" max="2" width="38.28515625" style="110" customWidth="1"/>
    <col min="3" max="3" width="23.7109375" style="110" bestFit="1" customWidth="1"/>
    <col min="4" max="4" width="10.42578125" style="110" hidden="1" customWidth="1"/>
    <col min="5" max="10" width="10.42578125" style="110" customWidth="1"/>
    <col min="11" max="16" width="10.42578125" style="110" hidden="1" customWidth="1"/>
    <col min="17" max="17" width="18.42578125" style="110" customWidth="1"/>
    <col min="18" max="16384" width="9.140625" style="110"/>
  </cols>
  <sheetData>
    <row r="3" spans="2:17" ht="13.5" thickBot="1" x14ac:dyDescent="0.25"/>
    <row r="4" spans="2:17" ht="18.95" customHeight="1" thickBot="1" x14ac:dyDescent="0.25">
      <c r="B4" s="195" t="s">
        <v>39</v>
      </c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7"/>
    </row>
    <row r="5" spans="2:17" ht="20.25" customHeight="1" x14ac:dyDescent="0.2">
      <c r="B5" s="198" t="s">
        <v>40</v>
      </c>
      <c r="C5" s="184" t="s">
        <v>32</v>
      </c>
      <c r="D5" s="186" t="s">
        <v>31</v>
      </c>
      <c r="E5" s="187"/>
      <c r="F5" s="187"/>
      <c r="G5" s="187"/>
      <c r="H5" s="187"/>
      <c r="I5" s="187"/>
      <c r="J5" s="187"/>
      <c r="K5" s="188"/>
      <c r="L5" s="188"/>
      <c r="M5" s="188"/>
      <c r="N5" s="188"/>
      <c r="O5" s="188"/>
      <c r="P5" s="189"/>
      <c r="Q5" s="190" t="s">
        <v>35</v>
      </c>
    </row>
    <row r="6" spans="2:17" ht="20.25" customHeight="1" thickBot="1" x14ac:dyDescent="0.25">
      <c r="B6" s="199"/>
      <c r="C6" s="185"/>
      <c r="D6" s="118" t="s">
        <v>34</v>
      </c>
      <c r="E6" s="119" t="s">
        <v>33</v>
      </c>
      <c r="F6" s="119" t="s">
        <v>30</v>
      </c>
      <c r="G6" s="119" t="s">
        <v>36</v>
      </c>
      <c r="H6" s="119" t="s">
        <v>37</v>
      </c>
      <c r="I6" s="119" t="s">
        <v>1</v>
      </c>
      <c r="J6" s="119" t="s">
        <v>0</v>
      </c>
      <c r="K6" s="120" t="s">
        <v>38</v>
      </c>
      <c r="L6" s="120" t="s">
        <v>41</v>
      </c>
      <c r="M6" s="120" t="s">
        <v>42</v>
      </c>
      <c r="N6" s="120" t="s">
        <v>43</v>
      </c>
      <c r="O6" s="120" t="s">
        <v>44</v>
      </c>
      <c r="P6" s="132" t="s">
        <v>45</v>
      </c>
      <c r="Q6" s="191"/>
    </row>
    <row r="7" spans="2:17" x14ac:dyDescent="0.2">
      <c r="B7" s="115"/>
      <c r="C7" s="140" t="s">
        <v>55</v>
      </c>
      <c r="D7" s="122">
        <f>IFERROR(VLOOKUP(CONCATENATE($C7,", ",D$6),#REF!,26,0),0)</f>
        <v>0</v>
      </c>
      <c r="E7" s="123">
        <f>IFERROR(VLOOKUP(CONCATENATE($C7,", ",E$6),#REF!,26,0),0)</f>
        <v>0</v>
      </c>
      <c r="F7" s="123">
        <f>IFERROR(VLOOKUP(CONCATENATE($C7,", ",F$6),#REF!,26,0),0)</f>
        <v>0</v>
      </c>
      <c r="G7" s="123">
        <f>IFERROR(VLOOKUP(CONCATENATE($C7,", ",G$6),#REF!,26,0),0)</f>
        <v>0</v>
      </c>
      <c r="H7" s="123">
        <f>IFERROR(VLOOKUP(CONCATENATE($C7,", ",H$6),#REF!,26,0),0)</f>
        <v>0</v>
      </c>
      <c r="I7" s="123">
        <f>IFERROR(VLOOKUP(CONCATENATE($C7,", ",I$6),#REF!,26,0),0)</f>
        <v>0</v>
      </c>
      <c r="J7" s="124">
        <f>IFERROR(VLOOKUP(CONCATENATE($C7,", ",J$6),#REF!,26,0),0)</f>
        <v>0</v>
      </c>
      <c r="K7" s="129">
        <f>IFERROR(VLOOKUP(CONCATENATE($C7,", ",K$6),#REF!,26,0),0)</f>
        <v>0</v>
      </c>
      <c r="L7" s="123">
        <f>IFERROR(VLOOKUP(CONCATENATE($C7,", ",L$6),#REF!,26,0),0)</f>
        <v>0</v>
      </c>
      <c r="M7" s="123">
        <f>IFERROR(VLOOKUP(CONCATENATE($C7,", ",M$6),#REF!,26,0),0)</f>
        <v>0</v>
      </c>
      <c r="N7" s="123">
        <f>IFERROR(VLOOKUP(CONCATENATE($C7,", ",N$6),#REF!,26,0),0)</f>
        <v>0</v>
      </c>
      <c r="O7" s="123">
        <f>IFERROR(VLOOKUP(CONCATENATE($C7,", ",O$6),#REF!,26,0),0)</f>
        <v>0</v>
      </c>
      <c r="P7" s="124">
        <f>IFERROR(VLOOKUP(CONCATENATE($C7,", ",P$6),#REF!,26,0),0)</f>
        <v>0</v>
      </c>
      <c r="Q7" s="192">
        <f>C15+C17+C18+E19+C20+E21</f>
        <v>8400</v>
      </c>
    </row>
    <row r="8" spans="2:17" x14ac:dyDescent="0.2">
      <c r="B8" s="116"/>
      <c r="C8" s="141" t="s">
        <v>54</v>
      </c>
      <c r="D8" s="125">
        <f>IFERROR(VLOOKUP(CONCATENATE($C8,", ",D$6),#REF!,26,0),0)</f>
        <v>0</v>
      </c>
      <c r="E8" s="121">
        <f>IFERROR(VLOOKUP(CONCATENATE($C8,", ",E$6),#REF!,26,0),0)</f>
        <v>0</v>
      </c>
      <c r="F8" s="121">
        <f>IFERROR(VLOOKUP(CONCATENATE($C8,", ",F$6),#REF!,26,0),0)</f>
        <v>0</v>
      </c>
      <c r="G8" s="121">
        <f>IFERROR(VLOOKUP(CONCATENATE($C8,", ",G$6),#REF!,26,0),0)</f>
        <v>0</v>
      </c>
      <c r="H8" s="121">
        <f>IFERROR(VLOOKUP(CONCATENATE($C8,", ",H$6),#REF!,26,0),0)</f>
        <v>0</v>
      </c>
      <c r="I8" s="121">
        <f>IFERROR(VLOOKUP(CONCATENATE($C8,", ",I$6),#REF!,26,0),0)</f>
        <v>0</v>
      </c>
      <c r="J8" s="126">
        <f>IFERROR(VLOOKUP(CONCATENATE($C8,", ",J$6),#REF!,26,0),0)</f>
        <v>0</v>
      </c>
      <c r="K8" s="111">
        <f>IFERROR(VLOOKUP(CONCATENATE($C8,", ",K$6),#REF!,26,0),0)</f>
        <v>0</v>
      </c>
      <c r="L8" s="121">
        <f>IFERROR(VLOOKUP(CONCATENATE($C8,", ",L$6),#REF!,26,0),0)</f>
        <v>0</v>
      </c>
      <c r="M8" s="121">
        <f>IFERROR(VLOOKUP(CONCATENATE($C8,", ",M$6),#REF!,26,0),0)</f>
        <v>0</v>
      </c>
      <c r="N8" s="121">
        <f>IFERROR(VLOOKUP(CONCATENATE($C8,", ",N$6),#REF!,26,0),0)</f>
        <v>0</v>
      </c>
      <c r="O8" s="121">
        <f>IFERROR(VLOOKUP(CONCATENATE($C8,", ",O$6),#REF!,26,0),0)</f>
        <v>0</v>
      </c>
      <c r="P8" s="126">
        <f>IFERROR(VLOOKUP(CONCATENATE($C8,", ",P$6),#REF!,26,0),0)</f>
        <v>0</v>
      </c>
      <c r="Q8" s="193"/>
    </row>
    <row r="9" spans="2:17" ht="13.5" thickBot="1" x14ac:dyDescent="0.25">
      <c r="B9" s="117" t="e">
        <f>VLOOKUP(C9,#REF!,4,0)</f>
        <v>#REF!</v>
      </c>
      <c r="C9" s="142" t="s">
        <v>46</v>
      </c>
      <c r="D9" s="133">
        <f>IFERROR(VLOOKUP(CONCATENATE($C9,", ",D$6),#REF!,26,0),0)</f>
        <v>0</v>
      </c>
      <c r="E9" s="134">
        <f>IFERROR(VLOOKUP(CONCATENATE($C9,", ",E$6),#REF!,26,0),0)</f>
        <v>0</v>
      </c>
      <c r="F9" s="134">
        <f>IFERROR(VLOOKUP(CONCATENATE($C9,", ",F$6),#REF!,26,0),0)</f>
        <v>0</v>
      </c>
      <c r="G9" s="134">
        <f>IFERROR(VLOOKUP(CONCATENATE($C9,", ",G$6),#REF!,26,0),0)</f>
        <v>0</v>
      </c>
      <c r="H9" s="134">
        <f>IFERROR(VLOOKUP(CONCATENATE($C9,", ",H$6),#REF!,26,0),0)</f>
        <v>0</v>
      </c>
      <c r="I9" s="134">
        <f>IFERROR(VLOOKUP(CONCATENATE($C9,", ",I$6),#REF!,26,0),0)</f>
        <v>0</v>
      </c>
      <c r="J9" s="135">
        <f>IFERROR(VLOOKUP(CONCATENATE($C9,", ",J$6),#REF!,26,0),0)</f>
        <v>0</v>
      </c>
      <c r="K9" s="112">
        <f>IFERROR(VLOOKUP(CONCATENATE($C9,", ",K$6),#REF!,26,0),0)</f>
        <v>0</v>
      </c>
      <c r="L9" s="127">
        <f>IFERROR(VLOOKUP(CONCATENATE($C9,", ",L$6),#REF!,26,0),0)</f>
        <v>0</v>
      </c>
      <c r="M9" s="127">
        <f>IFERROR(VLOOKUP(CONCATENATE($C9,", ",M$6),#REF!,26,0),0)</f>
        <v>0</v>
      </c>
      <c r="N9" s="127">
        <f>IFERROR(VLOOKUP(CONCATENATE($C9,", ",N$6),#REF!,26,0),0)</f>
        <v>0</v>
      </c>
      <c r="O9" s="127">
        <f>IFERROR(VLOOKUP(CONCATENATE($C9,", ",O$6),#REF!,26,0),0)</f>
        <v>0</v>
      </c>
      <c r="P9" s="128">
        <f>IFERROR(VLOOKUP(CONCATENATE($C9,", ",P$6),#REF!,26,0),0)</f>
        <v>0</v>
      </c>
      <c r="Q9" s="193"/>
    </row>
    <row r="10" spans="2:17" ht="13.5" thickBot="1" x14ac:dyDescent="0.25">
      <c r="B10" s="136" t="e">
        <f>VLOOKUP(C10,#REF!,4,0)</f>
        <v>#REF!</v>
      </c>
      <c r="C10" s="143"/>
      <c r="D10" s="137">
        <f>IFERROR(VLOOKUP(CONCATENATE($C10,", ",D$6),#REF!,26,0),0)</f>
        <v>0</v>
      </c>
      <c r="E10" s="138">
        <f>IFERROR(VLOOKUP(CONCATENATE($C10,", ",E$6),#REF!,26,0),0)</f>
        <v>0</v>
      </c>
      <c r="F10" s="138">
        <f>IFERROR(VLOOKUP(CONCATENATE($C10,", ",F$6),#REF!,26,0),0)</f>
        <v>0</v>
      </c>
      <c r="G10" s="138">
        <f>IFERROR(VLOOKUP(CONCATENATE($C10,", ",G$6),#REF!,26,0),0)</f>
        <v>0</v>
      </c>
      <c r="H10" s="138">
        <f>IFERROR(VLOOKUP(CONCATENATE($C10,", ",H$6),#REF!,26,0),0)</f>
        <v>0</v>
      </c>
      <c r="I10" s="138">
        <f>IFERROR(VLOOKUP(CONCATENATE($C10,", ",I$6),#REF!,26,0),0)</f>
        <v>0</v>
      </c>
      <c r="J10" s="139">
        <f>IFERROR(VLOOKUP(CONCATENATE($C10,", ",J$6),#REF!,26,0),0)</f>
        <v>0</v>
      </c>
      <c r="K10" s="112">
        <f>IFERROR(VLOOKUP(CONCATENATE($C10,", ",K$6),#REF!,26,0),0)</f>
        <v>0</v>
      </c>
      <c r="L10" s="112">
        <f>IFERROR(VLOOKUP(CONCATENATE($C10,", ",L$6),#REF!,26,0),0)</f>
        <v>0</v>
      </c>
      <c r="M10" s="112">
        <f>IFERROR(VLOOKUP(CONCATENATE($C10,", ",M$6),#REF!,26,0),0)</f>
        <v>0</v>
      </c>
      <c r="N10" s="112">
        <f>IFERROR(VLOOKUP(CONCATENATE($C10,", ",N$6),#REF!,26,0),0)</f>
        <v>0</v>
      </c>
      <c r="O10" s="112">
        <f>IFERROR(VLOOKUP(CONCATENATE($C10,", ",O$6),#REF!,26,0),0)</f>
        <v>0</v>
      </c>
      <c r="P10" s="130">
        <f>IFERROR(VLOOKUP(CONCATENATE($C10,", ",P$6),#REF!,26,0),0)</f>
        <v>0</v>
      </c>
      <c r="Q10" s="194"/>
    </row>
    <row r="15" spans="2:17" x14ac:dyDescent="0.2">
      <c r="B15" s="144" t="s">
        <v>47</v>
      </c>
      <c r="C15" s="145">
        <v>2000</v>
      </c>
      <c r="E15" s="149"/>
    </row>
    <row r="16" spans="2:17" x14ac:dyDescent="0.2">
      <c r="B16" s="144" t="s">
        <v>48</v>
      </c>
      <c r="C16" s="146"/>
      <c r="E16" s="149"/>
    </row>
    <row r="17" spans="2:5" x14ac:dyDescent="0.2">
      <c r="B17" s="147" t="s">
        <v>49</v>
      </c>
      <c r="C17" s="148">
        <v>1000</v>
      </c>
      <c r="E17" s="149"/>
    </row>
    <row r="18" spans="2:5" x14ac:dyDescent="0.2">
      <c r="B18" s="147" t="s">
        <v>50</v>
      </c>
      <c r="C18" s="148">
        <v>1000</v>
      </c>
      <c r="E18" s="149"/>
    </row>
    <row r="19" spans="2:5" x14ac:dyDescent="0.2">
      <c r="B19" s="147" t="s">
        <v>51</v>
      </c>
      <c r="C19" s="148">
        <v>2000</v>
      </c>
      <c r="E19" s="149">
        <f>C19*0.2</f>
        <v>400</v>
      </c>
    </row>
    <row r="20" spans="2:5" x14ac:dyDescent="0.2">
      <c r="B20" s="147" t="s">
        <v>52</v>
      </c>
      <c r="C20" s="148">
        <v>1000</v>
      </c>
      <c r="E20" s="149"/>
    </row>
    <row r="21" spans="2:5" x14ac:dyDescent="0.2">
      <c r="B21" s="147" t="s">
        <v>53</v>
      </c>
      <c r="C21" s="148">
        <v>5000</v>
      </c>
      <c r="E21" s="149">
        <f>IF(C21&gt;=3000,3000,C21)</f>
        <v>3000</v>
      </c>
    </row>
  </sheetData>
  <mergeCells count="6">
    <mergeCell ref="C5:C6"/>
    <mergeCell ref="D5:P5"/>
    <mergeCell ref="Q5:Q6"/>
    <mergeCell ref="Q7:Q10"/>
    <mergeCell ref="B4:Q4"/>
    <mergeCell ref="B5:B6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6">
    <tabColor rgb="FF00B0F0"/>
    <pageSetUpPr fitToPage="1"/>
  </sheetPr>
  <dimension ref="A1:AC102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40625" defaultRowHeight="12.75" outlineLevelCol="1" x14ac:dyDescent="0.2"/>
  <cols>
    <col min="1" max="1" width="2.42578125" style="12" customWidth="1"/>
    <col min="2" max="2" width="9" style="4" customWidth="1"/>
    <col min="3" max="3" width="10.140625" style="4" customWidth="1"/>
    <col min="4" max="4" width="19.42578125" style="4" bestFit="1" customWidth="1"/>
    <col min="5" max="5" width="29.140625" style="4" customWidth="1"/>
    <col min="6" max="6" width="20.7109375" style="4" bestFit="1" customWidth="1"/>
    <col min="7" max="7" width="14.42578125" style="41" customWidth="1"/>
    <col min="8" max="8" width="11.42578125" style="36" customWidth="1"/>
    <col min="9" max="9" width="13.42578125" customWidth="1"/>
    <col min="10" max="10" width="0.140625" style="3" customWidth="1"/>
    <col min="11" max="11" width="34.140625" style="4" hidden="1" customWidth="1" outlineLevel="1"/>
    <col min="12" max="12" width="29.7109375" style="4" hidden="1" customWidth="1" outlineLevel="1"/>
    <col min="13" max="13" width="18.7109375" style="96" customWidth="1" collapsed="1"/>
    <col min="14" max="14" width="17.140625" style="96" customWidth="1"/>
    <col min="15" max="29" width="9.140625" style="96"/>
    <col min="30" max="16384" width="9.140625" style="4"/>
  </cols>
  <sheetData>
    <row r="1" spans="1:14" ht="19.899999999999999" customHeight="1" thickBot="1" x14ac:dyDescent="0.25">
      <c r="A1" s="49"/>
      <c r="B1" s="50"/>
      <c r="C1" s="50"/>
      <c r="D1" s="50"/>
      <c r="E1" s="98"/>
      <c r="F1" s="98"/>
      <c r="G1" s="89"/>
      <c r="H1" s="227" t="s">
        <v>65</v>
      </c>
      <c r="I1" s="227"/>
    </row>
    <row r="2" spans="1:14" ht="12.75" customHeight="1" x14ac:dyDescent="0.2">
      <c r="A2" s="2"/>
      <c r="B2" s="50"/>
      <c r="C2" s="50"/>
      <c r="D2" s="50"/>
      <c r="E2" s="108">
        <f>VLOOKUP('Зустрічна пропозиція'!H2,Лист2!A:O,14,FALSE)</f>
        <v>0</v>
      </c>
      <c r="F2" s="99">
        <f>VLOOKUP(H$2,Лист2!$A:$H,2,0)</f>
        <v>500000</v>
      </c>
      <c r="G2" s="152">
        <f ca="1">TODAY()</f>
        <v>46036</v>
      </c>
      <c r="H2" s="228" t="s">
        <v>83</v>
      </c>
      <c r="I2" s="229"/>
      <c r="J2" s="42"/>
      <c r="M2" s="162"/>
      <c r="N2" s="162"/>
    </row>
    <row r="3" spans="1:14" ht="13.7" customHeight="1" thickBot="1" x14ac:dyDescent="0.25">
      <c r="A3" s="2"/>
      <c r="B3" s="50"/>
      <c r="C3" s="50"/>
      <c r="D3" s="50"/>
      <c r="E3" s="109">
        <f>IF(F5&lt;E2,"x",IF(F9&gt;F2,"y",F9))</f>
        <v>15000</v>
      </c>
      <c r="F3" s="230" t="str">
        <f>IF(E3="x","Збільшіть суму",IF(E3="y","Зменшіть суму",""))</f>
        <v/>
      </c>
      <c r="G3" s="57">
        <f>Назви!B37</f>
        <v>30.4</v>
      </c>
      <c r="H3" s="231" t="str">
        <f>VLOOKUP(H$2,Лист2!$A:$H,8,0)</f>
        <v>max. 500000 грн.</v>
      </c>
      <c r="I3" s="232"/>
      <c r="J3" s="42"/>
    </row>
    <row r="4" spans="1:14" ht="9" customHeight="1" thickBot="1" x14ac:dyDescent="0.25">
      <c r="A4" s="2"/>
      <c r="B4" s="2"/>
      <c r="C4" s="2"/>
      <c r="D4" s="2"/>
      <c r="E4" s="108"/>
      <c r="F4" s="230"/>
      <c r="G4" s="35"/>
      <c r="H4" s="154"/>
      <c r="I4" s="42"/>
      <c r="J4" s="42"/>
      <c r="K4" s="54"/>
    </row>
    <row r="5" spans="1:14" ht="21" customHeight="1" thickBot="1" x14ac:dyDescent="0.25">
      <c r="A5" s="1"/>
      <c r="B5" s="233" t="s">
        <v>71</v>
      </c>
      <c r="C5" s="234"/>
      <c r="D5" s="234"/>
      <c r="E5" s="235"/>
      <c r="F5" s="166">
        <v>5000</v>
      </c>
      <c r="G5" s="164" t="s">
        <v>24</v>
      </c>
      <c r="H5" s="165"/>
      <c r="I5" s="3"/>
      <c r="J5" s="43"/>
      <c r="K5" s="54"/>
    </row>
    <row r="6" spans="1:14" ht="7.5" customHeight="1" thickBot="1" x14ac:dyDescent="0.25">
      <c r="A6" s="1"/>
      <c r="B6" s="5"/>
      <c r="C6" s="2"/>
      <c r="D6" s="5"/>
      <c r="E6" s="2"/>
      <c r="F6" s="6"/>
      <c r="G6" s="36"/>
      <c r="H6" s="35"/>
      <c r="I6" s="2"/>
      <c r="J6" s="44"/>
      <c r="K6" s="54"/>
    </row>
    <row r="7" spans="1:14" ht="19.5" customHeight="1" thickBot="1" x14ac:dyDescent="0.25">
      <c r="A7" s="1"/>
      <c r="B7" s="233" t="s">
        <v>74</v>
      </c>
      <c r="C7" s="234"/>
      <c r="D7" s="234"/>
      <c r="E7" s="235"/>
      <c r="F7" s="166">
        <v>10000</v>
      </c>
      <c r="G7" s="36"/>
      <c r="H7" s="35"/>
      <c r="I7" s="2"/>
      <c r="J7" s="44"/>
      <c r="K7" s="54"/>
    </row>
    <row r="8" spans="1:14" ht="11.25" customHeight="1" thickBot="1" x14ac:dyDescent="0.25">
      <c r="A8" s="1"/>
      <c r="B8" s="175"/>
      <c r="C8" s="176"/>
      <c r="D8" s="176"/>
      <c r="E8" s="177"/>
      <c r="F8" s="178"/>
      <c r="G8" s="64"/>
      <c r="H8" s="35"/>
      <c r="I8" s="2"/>
      <c r="J8" s="44"/>
      <c r="K8" s="54"/>
    </row>
    <row r="9" spans="1:14" ht="20.25" customHeight="1" thickBot="1" x14ac:dyDescent="0.3">
      <c r="A9" s="1"/>
      <c r="B9" s="203" t="s">
        <v>72</v>
      </c>
      <c r="C9" s="204"/>
      <c r="D9" s="204"/>
      <c r="E9" s="205"/>
      <c r="F9" s="181">
        <f>F5+F7</f>
        <v>15000</v>
      </c>
      <c r="G9" s="36"/>
      <c r="H9" s="35"/>
      <c r="I9" s="2"/>
      <c r="J9" s="44"/>
      <c r="K9" s="54"/>
    </row>
    <row r="10" spans="1:14" s="4" customFormat="1" ht="13.9" customHeight="1" thickBot="1" x14ac:dyDescent="0.25">
      <c r="A10" s="12"/>
      <c r="B10" s="47"/>
      <c r="C10" s="47"/>
      <c r="D10" s="47"/>
      <c r="E10" s="47"/>
      <c r="F10" s="73"/>
      <c r="G10" s="64"/>
      <c r="H10" s="41"/>
      <c r="J10" s="44"/>
      <c r="K10" s="54"/>
    </row>
    <row r="11" spans="1:14" ht="21.75" customHeight="1" thickBot="1" x14ac:dyDescent="0.25">
      <c r="A11" s="1"/>
      <c r="B11" s="203" t="str">
        <f>Назви!A3</f>
        <v>Середньозважена процентна ставка, % річних</v>
      </c>
      <c r="C11" s="204"/>
      <c r="D11" s="204"/>
      <c r="E11" s="205"/>
      <c r="F11" s="180">
        <f>(F5*F13+F7*F15)/F9</f>
        <v>0.49666666666666665</v>
      </c>
      <c r="G11" s="36"/>
      <c r="H11" s="35"/>
      <c r="I11" s="2"/>
      <c r="J11" s="44"/>
      <c r="K11" s="54"/>
    </row>
    <row r="12" spans="1:14" x14ac:dyDescent="0.2">
      <c r="A12" s="1"/>
      <c r="B12" s="5"/>
      <c r="C12" s="2"/>
      <c r="D12" s="5"/>
      <c r="E12" s="2"/>
      <c r="F12" s="151">
        <f>F9-D35</f>
        <v>14009.644206466432</v>
      </c>
      <c r="G12" s="36"/>
      <c r="H12" s="35"/>
      <c r="I12" s="2"/>
      <c r="J12" s="44"/>
      <c r="K12" s="54"/>
    </row>
    <row r="13" spans="1:14" x14ac:dyDescent="0.2">
      <c r="A13" s="1"/>
      <c r="B13" s="221" t="str">
        <f>Назви!A5</f>
        <v>Процентна ставка (для кредитів інших банків), % річних</v>
      </c>
      <c r="C13" s="222">
        <f>Назви!B5</f>
        <v>0</v>
      </c>
      <c r="D13" s="222">
        <f>Назви!C5</f>
        <v>0</v>
      </c>
      <c r="E13" s="223">
        <f>Назви!D5</f>
        <v>0</v>
      </c>
      <c r="F13" s="32">
        <f>VLOOKUP(H$2,Лист2!$A:$H,4,0)</f>
        <v>0.39</v>
      </c>
      <c r="G13" s="213"/>
      <c r="H13" s="213"/>
      <c r="I13" s="3"/>
      <c r="J13" s="43"/>
      <c r="K13" s="54"/>
    </row>
    <row r="14" spans="1:14" x14ac:dyDescent="0.2">
      <c r="A14" s="1"/>
      <c r="B14" s="1"/>
      <c r="C14" s="1"/>
      <c r="D14" s="1"/>
      <c r="E14" s="1"/>
      <c r="F14" s="1"/>
      <c r="G14" s="156"/>
      <c r="H14" s="156"/>
      <c r="I14" s="3"/>
      <c r="J14" s="43"/>
      <c r="K14" s="54"/>
    </row>
    <row r="15" spans="1:14" x14ac:dyDescent="0.2">
      <c r="A15" s="1"/>
      <c r="B15" s="221" t="str">
        <f>Назви!A7</f>
        <v>Процентна ставка (сума на руки), % річних</v>
      </c>
      <c r="C15" s="222">
        <f>Назви!B9</f>
        <v>0</v>
      </c>
      <c r="D15" s="222">
        <f>Назви!C9</f>
        <v>0</v>
      </c>
      <c r="E15" s="223">
        <f>Назви!D9</f>
        <v>0</v>
      </c>
      <c r="F15" s="32">
        <f>VLOOKUP(H$2,Лист2!$A:$H,5,0)</f>
        <v>0.55000000000000004</v>
      </c>
      <c r="G15" s="156"/>
      <c r="H15" s="156"/>
      <c r="I15" s="3"/>
      <c r="J15" s="43"/>
      <c r="K15" s="54"/>
    </row>
    <row r="16" spans="1:14" x14ac:dyDescent="0.2">
      <c r="A16" s="1"/>
      <c r="B16" s="5"/>
      <c r="C16" s="2"/>
      <c r="D16" s="5"/>
      <c r="E16" s="2"/>
      <c r="F16" s="90">
        <v>1.0000000000000001E-5</v>
      </c>
      <c r="G16" s="36"/>
      <c r="H16" s="35"/>
      <c r="I16" s="2"/>
      <c r="J16" s="44"/>
      <c r="K16" s="54"/>
    </row>
    <row r="17" spans="1:29" ht="12.6" customHeight="1" x14ac:dyDescent="0.2">
      <c r="A17" s="1"/>
      <c r="B17" s="221" t="str">
        <f>Назви!A9</f>
        <v>Разовий страховий тариф, %</v>
      </c>
      <c r="C17" s="222">
        <f>Назви!B9</f>
        <v>0</v>
      </c>
      <c r="D17" s="222">
        <f>Назви!C9</f>
        <v>0</v>
      </c>
      <c r="E17" s="223">
        <f>Назви!D9</f>
        <v>0</v>
      </c>
      <c r="F17" s="32">
        <f>VLOOKUP(H$2,Лист2!$A:$H,6,0)</f>
        <v>0</v>
      </c>
      <c r="G17" s="213"/>
      <c r="H17" s="213"/>
      <c r="I17" s="3"/>
      <c r="J17" s="43"/>
      <c r="K17" s="131"/>
    </row>
    <row r="18" spans="1:29" ht="6.6" customHeight="1" x14ac:dyDescent="0.2">
      <c r="A18" s="1"/>
      <c r="B18" s="5"/>
      <c r="C18" s="2"/>
      <c r="D18" s="5"/>
      <c r="E18" s="2"/>
      <c r="F18" s="37"/>
      <c r="G18" s="36"/>
      <c r="H18" s="35"/>
      <c r="I18" s="2"/>
      <c r="J18" s="44"/>
      <c r="K18" s="131"/>
    </row>
    <row r="19" spans="1:29" x14ac:dyDescent="0.2">
      <c r="A19" s="1"/>
      <c r="B19" s="221" t="str">
        <f>Назви!A11</f>
        <v xml:space="preserve">Щомісячна плата за обслуговування кредитної заборгованості, % </v>
      </c>
      <c r="C19" s="222">
        <f>Назви!B11</f>
        <v>0</v>
      </c>
      <c r="D19" s="222">
        <f>Назви!C11</f>
        <v>0</v>
      </c>
      <c r="E19" s="223">
        <f>Назви!D11</f>
        <v>0</v>
      </c>
      <c r="F19" s="32">
        <f>VLOOKUP(H$2,Лист2!$A:$H,7,0)</f>
        <v>0</v>
      </c>
      <c r="G19" s="213"/>
      <c r="H19" s="213"/>
      <c r="I19" s="3"/>
      <c r="J19" s="43"/>
      <c r="K19" s="131"/>
    </row>
    <row r="20" spans="1:29" ht="6.75" customHeight="1" x14ac:dyDescent="0.2">
      <c r="A20" s="1"/>
      <c r="B20" s="5"/>
      <c r="C20" s="2"/>
      <c r="D20" s="5"/>
      <c r="E20" s="2"/>
      <c r="F20" s="9"/>
      <c r="G20" s="36"/>
      <c r="H20" s="35"/>
      <c r="I20" s="2"/>
      <c r="J20" s="44"/>
      <c r="K20" s="131"/>
    </row>
    <row r="21" spans="1:29" x14ac:dyDescent="0.2">
      <c r="A21" s="1"/>
      <c r="B21" s="221" t="str">
        <f>Назви!A13</f>
        <v>Термін кредитування (міс.)</v>
      </c>
      <c r="C21" s="222">
        <f>Назви!B13</f>
        <v>0</v>
      </c>
      <c r="D21" s="222">
        <f>Назви!C13</f>
        <v>0</v>
      </c>
      <c r="E21" s="223">
        <f>Назви!D13</f>
        <v>0</v>
      </c>
      <c r="F21" s="53">
        <f>VLOOKUP(H$2,Лист2!$A:$H,3,0)</f>
        <v>12</v>
      </c>
      <c r="G21" s="213"/>
      <c r="H21" s="213"/>
      <c r="I21" s="3"/>
      <c r="J21" s="43"/>
      <c r="K21" s="131"/>
    </row>
    <row r="22" spans="1:29" s="12" customFormat="1" ht="7.9" customHeight="1" x14ac:dyDescent="0.2">
      <c r="A22" s="1"/>
      <c r="B22" s="10"/>
      <c r="C22" s="48"/>
      <c r="D22" s="93"/>
      <c r="E22" s="150">
        <f>F5*F17</f>
        <v>0</v>
      </c>
      <c r="F22" s="50"/>
      <c r="G22" s="95"/>
      <c r="H22" s="11"/>
      <c r="I22" s="1"/>
      <c r="J22" s="44"/>
      <c r="K22" s="131" t="str">
        <f>Лист2!A4</f>
        <v xml:space="preserve">Зустрічна пропозиція, 60 міс. </v>
      </c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</row>
    <row r="23" spans="1:29" s="12" customFormat="1" ht="11.25" customHeight="1" x14ac:dyDescent="0.2">
      <c r="A23" s="1"/>
      <c r="B23" s="10"/>
      <c r="C23" s="48"/>
      <c r="D23" s="93"/>
      <c r="E23" s="151">
        <f>E22+E3</f>
        <v>15000</v>
      </c>
      <c r="F23" s="50"/>
      <c r="G23" s="95"/>
      <c r="H23" s="11"/>
      <c r="I23" s="1"/>
      <c r="J23" s="98"/>
      <c r="K23" s="131" t="str">
        <f>Лист2!A5</f>
        <v xml:space="preserve">Зустрічна пропозиція, 48 міс. </v>
      </c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</row>
    <row r="24" spans="1:29" s="12" customFormat="1" x14ac:dyDescent="0.2">
      <c r="A24" s="1"/>
      <c r="B24" s="210" t="str">
        <f>Назви!A16</f>
        <v>Орієнтовний платіж, грн.</v>
      </c>
      <c r="C24" s="211">
        <f>Назви!B16</f>
        <v>0</v>
      </c>
      <c r="D24" s="211">
        <f>Назви!C16</f>
        <v>0</v>
      </c>
      <c r="E24" s="212">
        <f>Назви!D16</f>
        <v>0</v>
      </c>
      <c r="F24" s="13">
        <f>PMT(F11/12,F21,-F9)+F19*F9</f>
        <v>1611.1891268669021</v>
      </c>
      <c r="G24" s="224"/>
      <c r="H24" s="225"/>
      <c r="I24" s="104"/>
      <c r="J24" s="44"/>
      <c r="K24" s="131" t="str">
        <f>Лист2!A6</f>
        <v xml:space="preserve">Зустрічна пропозиція, 36 міс. </v>
      </c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</row>
    <row r="25" spans="1:29" s="12" customFormat="1" ht="7.15" customHeight="1" x14ac:dyDescent="0.2">
      <c r="A25" s="1"/>
      <c r="B25" s="15"/>
      <c r="C25" s="15"/>
      <c r="D25" s="15"/>
      <c r="E25" s="15"/>
      <c r="F25" s="16"/>
      <c r="G25" s="17"/>
      <c r="H25" s="18"/>
      <c r="I25" s="1"/>
      <c r="J25" s="45"/>
      <c r="K25" s="131" t="str">
        <f>Лист2!A7</f>
        <v xml:space="preserve">Зустрічна пропозиція, 24 міс. </v>
      </c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</row>
    <row r="26" spans="1:29" s="12" customFormat="1" x14ac:dyDescent="0.2">
      <c r="A26" s="1"/>
      <c r="B26" s="210" t="str">
        <f>Назви!A18</f>
        <v>Орієнтовні загальні витрати за кредитом, грн.</v>
      </c>
      <c r="C26" s="211">
        <f>Назви!B18</f>
        <v>0</v>
      </c>
      <c r="D26" s="211">
        <f>Назви!C18</f>
        <v>0</v>
      </c>
      <c r="E26" s="212">
        <f>Назви!D18</f>
        <v>0</v>
      </c>
      <c r="F26" s="13">
        <f>F95-E3</f>
        <v>4334.2695224028248</v>
      </c>
      <c r="G26" s="226"/>
      <c r="H26" s="226"/>
      <c r="I26" s="1"/>
      <c r="J26" s="45"/>
      <c r="K26" s="131" t="str">
        <f>Лист2!A8</f>
        <v xml:space="preserve">Зустрічна пропозиція, 12 міс. </v>
      </c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</row>
    <row r="27" spans="1:29" s="12" customFormat="1" ht="7.15" customHeight="1" x14ac:dyDescent="0.2">
      <c r="A27" s="1"/>
      <c r="B27" s="19"/>
      <c r="C27" s="19"/>
      <c r="D27" s="19"/>
      <c r="E27" s="19"/>
      <c r="F27" s="20"/>
      <c r="G27" s="17"/>
      <c r="H27" s="18"/>
      <c r="I27" s="1"/>
      <c r="J27" s="45"/>
      <c r="K27" s="131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</row>
    <row r="28" spans="1:29" s="12" customFormat="1" x14ac:dyDescent="0.2">
      <c r="A28" s="1"/>
      <c r="B28" s="210" t="str">
        <f>Назви!A20</f>
        <v>Орієнтовна загальна вартість кредиту, грн.</v>
      </c>
      <c r="C28" s="211">
        <f>Назви!B20</f>
        <v>0</v>
      </c>
      <c r="D28" s="211">
        <f>Назви!C20</f>
        <v>0</v>
      </c>
      <c r="E28" s="212">
        <f>Назви!D20</f>
        <v>0</v>
      </c>
      <c r="F28" s="13">
        <f>F9+F26</f>
        <v>19334.269522402825</v>
      </c>
      <c r="G28" s="213"/>
      <c r="H28" s="213"/>
      <c r="I28" s="1"/>
      <c r="J28" s="45"/>
      <c r="K28" s="131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</row>
    <row r="29" spans="1:29" s="12" customFormat="1" ht="7.15" customHeight="1" x14ac:dyDescent="0.2">
      <c r="A29" s="1"/>
      <c r="B29" s="15"/>
      <c r="C29" s="15"/>
      <c r="D29" s="15"/>
      <c r="E29" s="15"/>
      <c r="F29" s="9"/>
      <c r="G29" s="17"/>
      <c r="H29" s="18"/>
      <c r="I29" s="1"/>
      <c r="J29" s="1"/>
      <c r="K29" s="131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</row>
    <row r="30" spans="1:29" s="12" customFormat="1" x14ac:dyDescent="0.2">
      <c r="A30" s="1"/>
      <c r="B30" s="210" t="str">
        <f>Назви!A22</f>
        <v>Реальна річна процентна ставка, %</v>
      </c>
      <c r="C30" s="211"/>
      <c r="D30" s="211"/>
      <c r="E30" s="212"/>
      <c r="F30" s="32">
        <f ca="1">XIRR(F34:F94,C34:C94)</f>
        <v>0.63045601248741157</v>
      </c>
      <c r="G30" s="17"/>
      <c r="H30" s="18"/>
      <c r="I30" s="1"/>
      <c r="J30" s="1"/>
      <c r="K30" s="131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</row>
    <row r="31" spans="1:29" s="12" customFormat="1" ht="13.5" thickBot="1" x14ac:dyDescent="0.25">
      <c r="A31" s="1"/>
      <c r="B31" s="24"/>
      <c r="C31" s="15"/>
      <c r="D31" s="102"/>
      <c r="E31" s="25"/>
      <c r="F31" s="26"/>
      <c r="G31" s="18"/>
      <c r="H31" s="17"/>
      <c r="I31" s="1"/>
      <c r="J31" s="1"/>
      <c r="K31" s="131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</row>
    <row r="32" spans="1:29" ht="18.75" thickBot="1" x14ac:dyDescent="0.25">
      <c r="A32" s="1"/>
      <c r="B32" s="218" t="str">
        <f>Назви!A31</f>
        <v>Орієнтовний порядок повернення кредиту</v>
      </c>
      <c r="C32" s="219"/>
      <c r="D32" s="219"/>
      <c r="E32" s="219"/>
      <c r="F32" s="219"/>
      <c r="G32" s="220"/>
      <c r="H32" s="3"/>
      <c r="I32" s="3"/>
      <c r="K32" s="131"/>
    </row>
    <row r="33" spans="1:29" ht="31.15" customHeight="1" thickBot="1" x14ac:dyDescent="0.25">
      <c r="A33" s="1"/>
      <c r="B33" s="153" t="s">
        <v>64</v>
      </c>
      <c r="C33" s="153" t="str">
        <f>Назви!A32</f>
        <v>Місяць</v>
      </c>
      <c r="D33" s="94" t="str">
        <f>Назви!C32</f>
        <v>Погашення суми кредиту, грн.</v>
      </c>
      <c r="E33" s="94" t="str">
        <f>Назви!E32</f>
        <v>Проценти за користування кредитом, грн.</v>
      </c>
      <c r="F33" s="214" t="str">
        <f>Назви!F32</f>
        <v>Сума платежу за розрахунковий період, грн.</v>
      </c>
      <c r="G33" s="215"/>
      <c r="H33" s="3"/>
      <c r="I33" s="3"/>
      <c r="J33" s="131" t="e">
        <f>Лист2!#REF!</f>
        <v>#REF!</v>
      </c>
      <c r="K33" s="131"/>
      <c r="L33" s="96"/>
      <c r="AC33" s="4"/>
    </row>
    <row r="34" spans="1:29" ht="12.6" hidden="1" customHeight="1" thickBot="1" x14ac:dyDescent="0.25">
      <c r="A34" s="1"/>
      <c r="B34" s="91">
        <v>0</v>
      </c>
      <c r="C34" s="183">
        <f ca="1">TODAY()</f>
        <v>46036</v>
      </c>
      <c r="D34" s="92"/>
      <c r="E34" s="92"/>
      <c r="F34" s="216">
        <f>-1*E3</f>
        <v>-15000</v>
      </c>
      <c r="G34" s="217"/>
      <c r="H34" s="3"/>
      <c r="I34" s="3"/>
      <c r="J34" s="131" t="e">
        <f>Лист2!#REF!</f>
        <v>#REF!</v>
      </c>
      <c r="K34" s="131"/>
      <c r="L34" s="96"/>
      <c r="AC34" s="4"/>
    </row>
    <row r="35" spans="1:29" ht="13.5" thickBot="1" x14ac:dyDescent="0.25">
      <c r="A35" s="1">
        <v>1</v>
      </c>
      <c r="B35" s="101">
        <v>1</v>
      </c>
      <c r="C35" s="107">
        <f ca="1">DATE(YEAR(C34),MONTH(C34)+1,DAY(C34))</f>
        <v>46067</v>
      </c>
      <c r="D35" s="159">
        <f>IFERROR(PPMT($F$11/12,B35,$F$21,-$F$9),0)</f>
        <v>990.35579353356877</v>
      </c>
      <c r="E35" s="160">
        <f>IFERROR(IPMT($F$11/12,B35,$F$21,-$F$9),0)</f>
        <v>620.83333333333314</v>
      </c>
      <c r="F35" s="201">
        <f t="shared" ref="F35:F66" si="0">SUM(D35:E35)</f>
        <v>1611.1891268669019</v>
      </c>
      <c r="G35" s="201"/>
      <c r="H35" s="3"/>
      <c r="I35" s="3"/>
      <c r="J35" s="131" t="e">
        <f>Лист2!#REF!</f>
        <v>#REF!</v>
      </c>
      <c r="K35" s="131"/>
      <c r="L35" s="96"/>
      <c r="AC35" s="4"/>
    </row>
    <row r="36" spans="1:29" ht="13.5" thickBot="1" x14ac:dyDescent="0.25">
      <c r="A36" s="1">
        <v>2</v>
      </c>
      <c r="B36" s="100">
        <v>2</v>
      </c>
      <c r="C36" s="103">
        <f t="shared" ref="C36:C94" ca="1" si="1">DATE(YEAR(C35),MONTH(C35)+1,DAY(C35))</f>
        <v>46095</v>
      </c>
      <c r="D36" s="161">
        <f t="shared" ref="D36:D94" si="2">IFERROR(PPMT($F$11/12,B36,$F$21,-$F$9),0)</f>
        <v>1031.345519432597</v>
      </c>
      <c r="E36" s="160">
        <f t="shared" ref="E36:E94" si="3">IFERROR(IPMT($F$11/12,B36,$F$21,-$F$9),0)</f>
        <v>579.843607434305</v>
      </c>
      <c r="F36" s="201">
        <f t="shared" si="0"/>
        <v>1611.1891268669019</v>
      </c>
      <c r="G36" s="201"/>
      <c r="H36" s="3"/>
      <c r="I36" s="3"/>
      <c r="J36" s="131" t="e">
        <f>Лист2!#REF!</f>
        <v>#REF!</v>
      </c>
      <c r="K36" s="131"/>
      <c r="L36" s="96"/>
      <c r="AC36" s="4"/>
    </row>
    <row r="37" spans="1:29" ht="13.5" thickBot="1" x14ac:dyDescent="0.25">
      <c r="A37" s="1">
        <v>3</v>
      </c>
      <c r="B37" s="100">
        <v>3</v>
      </c>
      <c r="C37" s="103">
        <f t="shared" ca="1" si="1"/>
        <v>46126</v>
      </c>
      <c r="D37" s="161">
        <f t="shared" si="2"/>
        <v>1074.0317645424464</v>
      </c>
      <c r="E37" s="160">
        <f t="shared" si="3"/>
        <v>537.15736232445579</v>
      </c>
      <c r="F37" s="201">
        <f t="shared" si="0"/>
        <v>1611.1891268669021</v>
      </c>
      <c r="G37" s="201"/>
      <c r="H37" s="3"/>
      <c r="I37" s="3"/>
      <c r="J37" s="131" t="e">
        <f>Лист2!#REF!</f>
        <v>#REF!</v>
      </c>
      <c r="K37" s="167"/>
      <c r="L37" s="96"/>
      <c r="AC37" s="4"/>
    </row>
    <row r="38" spans="1:29" ht="13.5" thickBot="1" x14ac:dyDescent="0.25">
      <c r="A38" s="1">
        <v>4</v>
      </c>
      <c r="B38" s="100">
        <v>4</v>
      </c>
      <c r="C38" s="103">
        <f t="shared" ca="1" si="1"/>
        <v>46156</v>
      </c>
      <c r="D38" s="161">
        <f t="shared" si="2"/>
        <v>1118.4847459082307</v>
      </c>
      <c r="E38" s="160">
        <f t="shared" si="3"/>
        <v>492.70438095867121</v>
      </c>
      <c r="F38" s="201">
        <f t="shared" si="0"/>
        <v>1611.1891268669019</v>
      </c>
      <c r="G38" s="201"/>
      <c r="H38" s="3"/>
      <c r="I38" s="3"/>
      <c r="J38" s="131" t="e">
        <f>Лист2!#REF!</f>
        <v>#REF!</v>
      </c>
      <c r="K38" s="131"/>
      <c r="L38" s="96"/>
      <c r="AC38" s="4"/>
    </row>
    <row r="39" spans="1:29" ht="13.5" thickBot="1" x14ac:dyDescent="0.25">
      <c r="A39" s="1">
        <v>5</v>
      </c>
      <c r="B39" s="100">
        <v>5</v>
      </c>
      <c r="C39" s="103">
        <f t="shared" ca="1" si="1"/>
        <v>46187</v>
      </c>
      <c r="D39" s="161">
        <f t="shared" si="2"/>
        <v>1164.7775867805435</v>
      </c>
      <c r="E39" s="160">
        <f t="shared" si="3"/>
        <v>446.41154008635834</v>
      </c>
      <c r="F39" s="201">
        <f t="shared" si="0"/>
        <v>1611.1891268669019</v>
      </c>
      <c r="G39" s="201"/>
      <c r="H39" s="3"/>
      <c r="I39" s="3"/>
      <c r="J39" s="131" t="e">
        <f>Лист2!#REF!</f>
        <v>#REF!</v>
      </c>
      <c r="K39" s="131"/>
      <c r="L39" s="96"/>
      <c r="AC39" s="4"/>
    </row>
    <row r="40" spans="1:29" ht="13.5" thickBot="1" x14ac:dyDescent="0.25">
      <c r="A40" s="1">
        <v>6</v>
      </c>
      <c r="B40" s="100">
        <v>6</v>
      </c>
      <c r="C40" s="103">
        <f t="shared" ca="1" si="1"/>
        <v>46217</v>
      </c>
      <c r="D40" s="161">
        <f t="shared" si="2"/>
        <v>1212.9864369000718</v>
      </c>
      <c r="E40" s="160">
        <f t="shared" si="3"/>
        <v>398.20268996683018</v>
      </c>
      <c r="F40" s="201">
        <f t="shared" si="0"/>
        <v>1611.1891268669019</v>
      </c>
      <c r="G40" s="201"/>
      <c r="H40" s="3"/>
      <c r="I40" s="3"/>
      <c r="J40" s="131" t="e">
        <f>Лист2!#REF!</f>
        <v>#REF!</v>
      </c>
      <c r="K40" s="131"/>
      <c r="L40" s="96"/>
      <c r="AC40" s="4"/>
    </row>
    <row r="41" spans="1:29" ht="13.5" thickBot="1" x14ac:dyDescent="0.25">
      <c r="A41" s="1">
        <v>7</v>
      </c>
      <c r="B41" s="100">
        <v>7</v>
      </c>
      <c r="C41" s="103">
        <f t="shared" ca="1" si="1"/>
        <v>46248</v>
      </c>
      <c r="D41" s="161">
        <f t="shared" si="2"/>
        <v>1263.190597760658</v>
      </c>
      <c r="E41" s="160">
        <f t="shared" si="3"/>
        <v>347.99852910624395</v>
      </c>
      <c r="F41" s="201">
        <f t="shared" si="0"/>
        <v>1611.1891268669019</v>
      </c>
      <c r="G41" s="201"/>
      <c r="H41" s="3"/>
      <c r="I41" s="3"/>
      <c r="J41" s="131" t="e">
        <f>Лист2!#REF!</f>
        <v>#REF!</v>
      </c>
      <c r="K41" s="131"/>
      <c r="L41" s="96"/>
      <c r="AC41" s="4"/>
    </row>
    <row r="42" spans="1:29" ht="13.5" thickBot="1" x14ac:dyDescent="0.25">
      <c r="A42" s="1">
        <v>8</v>
      </c>
      <c r="B42" s="100">
        <v>8</v>
      </c>
      <c r="C42" s="103">
        <f t="shared" ca="1" si="1"/>
        <v>46279</v>
      </c>
      <c r="D42" s="161">
        <f t="shared" si="2"/>
        <v>1315.472653056863</v>
      </c>
      <c r="E42" s="160">
        <f t="shared" si="3"/>
        <v>295.71647381003896</v>
      </c>
      <c r="F42" s="201">
        <f t="shared" si="0"/>
        <v>1611.1891268669019</v>
      </c>
      <c r="G42" s="201"/>
      <c r="H42" s="3"/>
      <c r="I42" s="3"/>
      <c r="J42" s="131" t="e">
        <f>Лист2!#REF!</f>
        <v>#REF!</v>
      </c>
      <c r="K42" s="131"/>
      <c r="L42" s="96"/>
      <c r="AC42" s="4"/>
    </row>
    <row r="43" spans="1:29" ht="13.5" thickBot="1" x14ac:dyDescent="0.25">
      <c r="A43" s="1">
        <v>9</v>
      </c>
      <c r="B43" s="100">
        <v>9</v>
      </c>
      <c r="C43" s="103">
        <f t="shared" ca="1" si="1"/>
        <v>46309</v>
      </c>
      <c r="D43" s="161">
        <f t="shared" si="2"/>
        <v>1369.9186045306055</v>
      </c>
      <c r="E43" s="160">
        <f t="shared" si="3"/>
        <v>241.27052233629658</v>
      </c>
      <c r="F43" s="201">
        <f t="shared" si="0"/>
        <v>1611.1891268669021</v>
      </c>
      <c r="G43" s="201"/>
      <c r="H43" s="3"/>
      <c r="I43" s="3"/>
      <c r="J43" s="131" t="e">
        <f>Лист2!#REF!</f>
        <v>#REF!</v>
      </c>
      <c r="K43" s="131"/>
      <c r="L43" s="96"/>
      <c r="AC43" s="4"/>
    </row>
    <row r="44" spans="1:29" ht="13.5" thickBot="1" x14ac:dyDescent="0.25">
      <c r="A44" s="1">
        <v>10</v>
      </c>
      <c r="B44" s="100">
        <v>10</v>
      </c>
      <c r="C44" s="103">
        <f t="shared" ca="1" si="1"/>
        <v>46340</v>
      </c>
      <c r="D44" s="161">
        <f t="shared" si="2"/>
        <v>1426.6180134403444</v>
      </c>
      <c r="E44" s="160">
        <f t="shared" si="3"/>
        <v>184.57111342655762</v>
      </c>
      <c r="F44" s="201">
        <f t="shared" si="0"/>
        <v>1611.1891268669019</v>
      </c>
      <c r="G44" s="201"/>
      <c r="H44" s="3"/>
      <c r="I44" s="3"/>
      <c r="J44" s="131" t="e">
        <f>Лист2!#REF!</f>
        <v>#REF!</v>
      </c>
      <c r="K44" s="131"/>
      <c r="L44" s="96"/>
      <c r="AC44" s="4"/>
    </row>
    <row r="45" spans="1:29" ht="13.5" thickBot="1" x14ac:dyDescent="0.25">
      <c r="A45" s="1">
        <v>22</v>
      </c>
      <c r="B45" s="100">
        <v>11</v>
      </c>
      <c r="C45" s="103">
        <f t="shared" ca="1" si="1"/>
        <v>46370</v>
      </c>
      <c r="D45" s="161">
        <f t="shared" si="2"/>
        <v>1485.664147885514</v>
      </c>
      <c r="E45" s="160">
        <f t="shared" si="3"/>
        <v>125.52497898138779</v>
      </c>
      <c r="F45" s="201">
        <f t="shared" si="0"/>
        <v>1611.1891268669019</v>
      </c>
      <c r="G45" s="201"/>
      <c r="H45" s="3"/>
      <c r="I45" s="3"/>
      <c r="J45" s="131" t="e">
        <f>Лист2!#REF!</f>
        <v>#REF!</v>
      </c>
      <c r="K45" s="131"/>
      <c r="L45" s="96"/>
      <c r="AC45" s="4"/>
    </row>
    <row r="46" spans="1:29" ht="13.5" thickBot="1" x14ac:dyDescent="0.25">
      <c r="A46" s="1">
        <v>22</v>
      </c>
      <c r="B46" s="100">
        <v>12</v>
      </c>
      <c r="C46" s="103">
        <f t="shared" ca="1" si="1"/>
        <v>46401</v>
      </c>
      <c r="D46" s="161">
        <f t="shared" si="2"/>
        <v>1547.1541362285534</v>
      </c>
      <c r="E46" s="160">
        <f t="shared" si="3"/>
        <v>64.034990638348461</v>
      </c>
      <c r="F46" s="201">
        <f t="shared" si="0"/>
        <v>1611.1891268669019</v>
      </c>
      <c r="G46" s="201"/>
      <c r="H46" s="3"/>
      <c r="I46" s="3"/>
      <c r="J46" s="131" t="e">
        <f>Лист2!#REF!</f>
        <v>#REF!</v>
      </c>
      <c r="K46" s="131"/>
      <c r="L46" s="96"/>
      <c r="AC46" s="4"/>
    </row>
    <row r="47" spans="1:29" ht="13.5" thickBot="1" x14ac:dyDescent="0.25">
      <c r="A47" s="1">
        <v>13</v>
      </c>
      <c r="B47" s="100">
        <v>13</v>
      </c>
      <c r="C47" s="103">
        <f t="shared" ca="1" si="1"/>
        <v>46432</v>
      </c>
      <c r="D47" s="161">
        <f t="shared" si="2"/>
        <v>0</v>
      </c>
      <c r="E47" s="160">
        <f t="shared" si="3"/>
        <v>0</v>
      </c>
      <c r="F47" s="201">
        <f t="shared" si="0"/>
        <v>0</v>
      </c>
      <c r="G47" s="201"/>
      <c r="H47" s="3"/>
      <c r="I47" s="3"/>
      <c r="J47" s="131" t="e">
        <f>Лист2!#REF!</f>
        <v>#REF!</v>
      </c>
      <c r="K47" s="131"/>
      <c r="L47" s="96"/>
      <c r="AC47" s="4"/>
    </row>
    <row r="48" spans="1:29" ht="13.5" thickBot="1" x14ac:dyDescent="0.25">
      <c r="A48" s="1">
        <v>14</v>
      </c>
      <c r="B48" s="100">
        <v>14</v>
      </c>
      <c r="C48" s="103">
        <f t="shared" ca="1" si="1"/>
        <v>46460</v>
      </c>
      <c r="D48" s="161">
        <f t="shared" si="2"/>
        <v>0</v>
      </c>
      <c r="E48" s="160">
        <f t="shared" si="3"/>
        <v>0</v>
      </c>
      <c r="F48" s="201">
        <f t="shared" si="0"/>
        <v>0</v>
      </c>
      <c r="G48" s="201"/>
      <c r="H48" s="3"/>
      <c r="I48" s="3"/>
      <c r="J48" s="131" t="e">
        <f>Лист2!#REF!</f>
        <v>#REF!</v>
      </c>
      <c r="K48" s="131"/>
      <c r="L48" s="96"/>
      <c r="AC48" s="4"/>
    </row>
    <row r="49" spans="1:29" ht="13.5" thickBot="1" x14ac:dyDescent="0.25">
      <c r="A49" s="1">
        <v>15</v>
      </c>
      <c r="B49" s="100">
        <v>15</v>
      </c>
      <c r="C49" s="103">
        <f t="shared" ca="1" si="1"/>
        <v>46491</v>
      </c>
      <c r="D49" s="161">
        <f t="shared" si="2"/>
        <v>0</v>
      </c>
      <c r="E49" s="160">
        <f t="shared" si="3"/>
        <v>0</v>
      </c>
      <c r="F49" s="201">
        <f t="shared" si="0"/>
        <v>0</v>
      </c>
      <c r="G49" s="201"/>
      <c r="H49" s="3"/>
      <c r="I49" s="3"/>
      <c r="J49" s="131" t="e">
        <f>Лист2!#REF!</f>
        <v>#REF!</v>
      </c>
      <c r="K49" s="131"/>
      <c r="L49" s="96"/>
      <c r="AC49" s="4"/>
    </row>
    <row r="50" spans="1:29" ht="13.5" thickBot="1" x14ac:dyDescent="0.25">
      <c r="A50" s="1">
        <v>16</v>
      </c>
      <c r="B50" s="100">
        <v>16</v>
      </c>
      <c r="C50" s="103">
        <f t="shared" ca="1" si="1"/>
        <v>46521</v>
      </c>
      <c r="D50" s="161">
        <f t="shared" si="2"/>
        <v>0</v>
      </c>
      <c r="E50" s="160">
        <f t="shared" si="3"/>
        <v>0</v>
      </c>
      <c r="F50" s="201">
        <f t="shared" si="0"/>
        <v>0</v>
      </c>
      <c r="G50" s="201"/>
      <c r="H50" s="3"/>
      <c r="I50" s="3"/>
      <c r="J50" s="131" t="e">
        <f>Лист2!#REF!</f>
        <v>#REF!</v>
      </c>
      <c r="K50" s="131"/>
      <c r="L50" s="96"/>
      <c r="AC50" s="4"/>
    </row>
    <row r="51" spans="1:29" ht="13.5" thickBot="1" x14ac:dyDescent="0.25">
      <c r="A51" s="1">
        <v>22</v>
      </c>
      <c r="B51" s="100">
        <v>17</v>
      </c>
      <c r="C51" s="103">
        <f t="shared" ca="1" si="1"/>
        <v>46552</v>
      </c>
      <c r="D51" s="161">
        <f t="shared" si="2"/>
        <v>0</v>
      </c>
      <c r="E51" s="160">
        <f t="shared" si="3"/>
        <v>0</v>
      </c>
      <c r="F51" s="201">
        <f t="shared" si="0"/>
        <v>0</v>
      </c>
      <c r="G51" s="201"/>
      <c r="H51" s="3"/>
      <c r="I51" s="3"/>
      <c r="J51" s="131"/>
      <c r="K51" s="131"/>
      <c r="L51" s="96"/>
      <c r="AC51" s="4"/>
    </row>
    <row r="52" spans="1:29" ht="13.5" thickBot="1" x14ac:dyDescent="0.25">
      <c r="A52" s="1">
        <v>22</v>
      </c>
      <c r="B52" s="100">
        <v>18</v>
      </c>
      <c r="C52" s="103">
        <f t="shared" ca="1" si="1"/>
        <v>46582</v>
      </c>
      <c r="D52" s="161">
        <f t="shared" si="2"/>
        <v>0</v>
      </c>
      <c r="E52" s="160">
        <f t="shared" si="3"/>
        <v>0</v>
      </c>
      <c r="F52" s="201">
        <f t="shared" si="0"/>
        <v>0</v>
      </c>
      <c r="G52" s="201"/>
      <c r="H52" s="3"/>
      <c r="I52" s="3"/>
      <c r="J52" s="131"/>
      <c r="L52" s="96"/>
      <c r="AC52" s="4"/>
    </row>
    <row r="53" spans="1:29" ht="13.5" thickBot="1" x14ac:dyDescent="0.25">
      <c r="A53" s="1">
        <v>19</v>
      </c>
      <c r="B53" s="100">
        <v>19</v>
      </c>
      <c r="C53" s="103">
        <f t="shared" ca="1" si="1"/>
        <v>46613</v>
      </c>
      <c r="D53" s="161">
        <f t="shared" si="2"/>
        <v>0</v>
      </c>
      <c r="E53" s="160">
        <f t="shared" si="3"/>
        <v>0</v>
      </c>
      <c r="F53" s="201">
        <f t="shared" si="0"/>
        <v>0</v>
      </c>
      <c r="G53" s="201"/>
      <c r="H53" s="3"/>
      <c r="I53" s="3"/>
      <c r="J53" s="131"/>
      <c r="L53" s="96"/>
      <c r="AC53" s="4"/>
    </row>
    <row r="54" spans="1:29" ht="13.5" thickBot="1" x14ac:dyDescent="0.25">
      <c r="A54" s="1">
        <v>20</v>
      </c>
      <c r="B54" s="100">
        <v>20</v>
      </c>
      <c r="C54" s="103">
        <f t="shared" ca="1" si="1"/>
        <v>46644</v>
      </c>
      <c r="D54" s="161">
        <f t="shared" si="2"/>
        <v>0</v>
      </c>
      <c r="E54" s="160">
        <f t="shared" si="3"/>
        <v>0</v>
      </c>
      <c r="F54" s="201">
        <f t="shared" si="0"/>
        <v>0</v>
      </c>
      <c r="G54" s="201"/>
      <c r="H54" s="3"/>
      <c r="I54" s="3"/>
      <c r="J54" s="131"/>
      <c r="L54" s="96"/>
      <c r="AC54" s="4"/>
    </row>
    <row r="55" spans="1:29" ht="13.5" thickBot="1" x14ac:dyDescent="0.25">
      <c r="A55" s="49">
        <v>21</v>
      </c>
      <c r="B55" s="100">
        <v>21</v>
      </c>
      <c r="C55" s="103">
        <f t="shared" ca="1" si="1"/>
        <v>46674</v>
      </c>
      <c r="D55" s="161">
        <f t="shared" si="2"/>
        <v>0</v>
      </c>
      <c r="E55" s="160">
        <f t="shared" si="3"/>
        <v>0</v>
      </c>
      <c r="F55" s="201">
        <f t="shared" si="0"/>
        <v>0</v>
      </c>
      <c r="G55" s="201"/>
      <c r="H55" s="3"/>
      <c r="I55" s="3"/>
      <c r="J55" s="131"/>
      <c r="L55" s="96"/>
      <c r="AC55" s="4"/>
    </row>
    <row r="56" spans="1:29" ht="13.5" thickBot="1" x14ac:dyDescent="0.25">
      <c r="A56" s="49">
        <v>22</v>
      </c>
      <c r="B56" s="100">
        <v>22</v>
      </c>
      <c r="C56" s="103">
        <f t="shared" ca="1" si="1"/>
        <v>46705</v>
      </c>
      <c r="D56" s="161">
        <f t="shared" si="2"/>
        <v>0</v>
      </c>
      <c r="E56" s="160">
        <f t="shared" si="3"/>
        <v>0</v>
      </c>
      <c r="F56" s="201">
        <f t="shared" si="0"/>
        <v>0</v>
      </c>
      <c r="G56" s="201"/>
      <c r="H56" s="3"/>
      <c r="I56" s="3"/>
      <c r="J56" s="4"/>
      <c r="L56" s="96"/>
      <c r="AC56" s="4"/>
    </row>
    <row r="57" spans="1:29" ht="13.5" thickBot="1" x14ac:dyDescent="0.25">
      <c r="A57" s="49">
        <v>25</v>
      </c>
      <c r="B57" s="100">
        <v>23</v>
      </c>
      <c r="C57" s="103">
        <f t="shared" ca="1" si="1"/>
        <v>46735</v>
      </c>
      <c r="D57" s="161">
        <f t="shared" si="2"/>
        <v>0</v>
      </c>
      <c r="E57" s="160">
        <f t="shared" si="3"/>
        <v>0</v>
      </c>
      <c r="F57" s="201">
        <f t="shared" si="0"/>
        <v>0</v>
      </c>
      <c r="G57" s="201"/>
      <c r="H57" s="3"/>
      <c r="I57" s="3"/>
      <c r="J57" s="4"/>
      <c r="L57" s="96"/>
      <c r="AC57" s="4"/>
    </row>
    <row r="58" spans="1:29" ht="13.5" thickBot="1" x14ac:dyDescent="0.25">
      <c r="A58" s="49"/>
      <c r="B58" s="100">
        <v>24</v>
      </c>
      <c r="C58" s="103">
        <f t="shared" ca="1" si="1"/>
        <v>46766</v>
      </c>
      <c r="D58" s="161">
        <f t="shared" si="2"/>
        <v>0</v>
      </c>
      <c r="E58" s="160">
        <f t="shared" si="3"/>
        <v>0</v>
      </c>
      <c r="F58" s="201">
        <f t="shared" si="0"/>
        <v>0</v>
      </c>
      <c r="G58" s="201"/>
      <c r="H58" s="3"/>
      <c r="I58" s="3"/>
      <c r="J58" s="4"/>
      <c r="L58" s="96"/>
      <c r="AC58" s="4"/>
    </row>
    <row r="59" spans="1:29" ht="13.5" thickBot="1" x14ac:dyDescent="0.25">
      <c r="A59" s="49"/>
      <c r="B59" s="100">
        <v>25</v>
      </c>
      <c r="C59" s="103">
        <f t="shared" ca="1" si="1"/>
        <v>46797</v>
      </c>
      <c r="D59" s="161">
        <f t="shared" si="2"/>
        <v>0</v>
      </c>
      <c r="E59" s="160">
        <f t="shared" si="3"/>
        <v>0</v>
      </c>
      <c r="F59" s="201">
        <f t="shared" si="0"/>
        <v>0</v>
      </c>
      <c r="G59" s="201"/>
      <c r="H59" s="3"/>
      <c r="I59" s="3"/>
      <c r="J59" s="4"/>
      <c r="L59" s="96"/>
      <c r="AC59" s="4"/>
    </row>
    <row r="60" spans="1:29" ht="13.5" thickBot="1" x14ac:dyDescent="0.25">
      <c r="A60" s="49"/>
      <c r="B60" s="100">
        <v>26</v>
      </c>
      <c r="C60" s="103">
        <f t="shared" ca="1" si="1"/>
        <v>46826</v>
      </c>
      <c r="D60" s="161">
        <f t="shared" si="2"/>
        <v>0</v>
      </c>
      <c r="E60" s="160">
        <f t="shared" si="3"/>
        <v>0</v>
      </c>
      <c r="F60" s="201">
        <f t="shared" si="0"/>
        <v>0</v>
      </c>
      <c r="G60" s="201"/>
      <c r="H60" s="3"/>
      <c r="I60" s="3"/>
      <c r="J60" s="4"/>
      <c r="L60" s="96"/>
      <c r="AC60" s="4"/>
    </row>
    <row r="61" spans="1:29" ht="13.5" thickBot="1" x14ac:dyDescent="0.25">
      <c r="A61" s="49"/>
      <c r="B61" s="100">
        <v>27</v>
      </c>
      <c r="C61" s="103">
        <f t="shared" ca="1" si="1"/>
        <v>46857</v>
      </c>
      <c r="D61" s="161">
        <f t="shared" si="2"/>
        <v>0</v>
      </c>
      <c r="E61" s="160">
        <f t="shared" si="3"/>
        <v>0</v>
      </c>
      <c r="F61" s="201">
        <f t="shared" si="0"/>
        <v>0</v>
      </c>
      <c r="G61" s="201"/>
      <c r="H61" s="3"/>
      <c r="I61" s="3"/>
      <c r="J61" s="4"/>
      <c r="L61" s="96"/>
      <c r="AC61" s="4"/>
    </row>
    <row r="62" spans="1:29" ht="13.5" thickBot="1" x14ac:dyDescent="0.25">
      <c r="A62" s="49"/>
      <c r="B62" s="100">
        <v>28</v>
      </c>
      <c r="C62" s="103">
        <f t="shared" ca="1" si="1"/>
        <v>46887</v>
      </c>
      <c r="D62" s="161">
        <f t="shared" si="2"/>
        <v>0</v>
      </c>
      <c r="E62" s="160">
        <f t="shared" si="3"/>
        <v>0</v>
      </c>
      <c r="F62" s="201">
        <f t="shared" si="0"/>
        <v>0</v>
      </c>
      <c r="G62" s="201"/>
      <c r="H62" s="3"/>
      <c r="I62" s="3"/>
      <c r="J62" s="4"/>
      <c r="L62" s="96"/>
      <c r="AC62" s="4"/>
    </row>
    <row r="63" spans="1:29" ht="13.5" thickBot="1" x14ac:dyDescent="0.25">
      <c r="A63" s="49"/>
      <c r="B63" s="100">
        <v>29</v>
      </c>
      <c r="C63" s="103">
        <f t="shared" ca="1" si="1"/>
        <v>46918</v>
      </c>
      <c r="D63" s="161">
        <f t="shared" si="2"/>
        <v>0</v>
      </c>
      <c r="E63" s="160">
        <f t="shared" si="3"/>
        <v>0</v>
      </c>
      <c r="F63" s="201">
        <f t="shared" si="0"/>
        <v>0</v>
      </c>
      <c r="G63" s="201"/>
      <c r="H63" s="3"/>
      <c r="I63" s="3"/>
      <c r="J63" s="4"/>
      <c r="L63" s="96"/>
      <c r="AC63" s="4"/>
    </row>
    <row r="64" spans="1:29" ht="13.5" thickBot="1" x14ac:dyDescent="0.25">
      <c r="A64" s="49">
        <v>25</v>
      </c>
      <c r="B64" s="100">
        <v>30</v>
      </c>
      <c r="C64" s="103">
        <f t="shared" ca="1" si="1"/>
        <v>46948</v>
      </c>
      <c r="D64" s="161">
        <f t="shared" si="2"/>
        <v>0</v>
      </c>
      <c r="E64" s="160">
        <f t="shared" si="3"/>
        <v>0</v>
      </c>
      <c r="F64" s="201">
        <f t="shared" si="0"/>
        <v>0</v>
      </c>
      <c r="G64" s="201"/>
      <c r="H64" s="105"/>
      <c r="I64" s="105"/>
      <c r="J64" s="4"/>
      <c r="L64" s="96"/>
      <c r="AC64" s="4"/>
    </row>
    <row r="65" spans="1:29" ht="13.5" thickBot="1" x14ac:dyDescent="0.25">
      <c r="A65" s="49"/>
      <c r="B65" s="100">
        <v>31</v>
      </c>
      <c r="C65" s="103">
        <f t="shared" ca="1" si="1"/>
        <v>46979</v>
      </c>
      <c r="D65" s="161">
        <f t="shared" si="2"/>
        <v>0</v>
      </c>
      <c r="E65" s="160">
        <f t="shared" si="3"/>
        <v>0</v>
      </c>
      <c r="F65" s="201">
        <f t="shared" si="0"/>
        <v>0</v>
      </c>
      <c r="G65" s="201"/>
      <c r="H65" s="105"/>
      <c r="I65" s="105"/>
      <c r="J65" s="4"/>
      <c r="L65" s="96"/>
      <c r="AC65" s="4"/>
    </row>
    <row r="66" spans="1:29" ht="13.5" thickBot="1" x14ac:dyDescent="0.25">
      <c r="A66" s="49"/>
      <c r="B66" s="100">
        <v>32</v>
      </c>
      <c r="C66" s="103">
        <f t="shared" ca="1" si="1"/>
        <v>47010</v>
      </c>
      <c r="D66" s="161">
        <f t="shared" si="2"/>
        <v>0</v>
      </c>
      <c r="E66" s="160">
        <f t="shared" si="3"/>
        <v>0</v>
      </c>
      <c r="F66" s="201">
        <f t="shared" si="0"/>
        <v>0</v>
      </c>
      <c r="G66" s="201"/>
      <c r="H66" s="105"/>
      <c r="I66" s="105"/>
      <c r="J66" s="4"/>
      <c r="L66" s="96"/>
      <c r="AC66" s="4"/>
    </row>
    <row r="67" spans="1:29" ht="13.5" thickBot="1" x14ac:dyDescent="0.25">
      <c r="A67" s="49"/>
      <c r="B67" s="100">
        <v>33</v>
      </c>
      <c r="C67" s="103">
        <f t="shared" ca="1" si="1"/>
        <v>47040</v>
      </c>
      <c r="D67" s="161">
        <f t="shared" si="2"/>
        <v>0</v>
      </c>
      <c r="E67" s="160">
        <f t="shared" si="3"/>
        <v>0</v>
      </c>
      <c r="F67" s="201">
        <f t="shared" ref="F67:F94" si="4">SUM(D67:E67)</f>
        <v>0</v>
      </c>
      <c r="G67" s="201"/>
      <c r="H67" s="105"/>
      <c r="I67" s="105"/>
      <c r="J67" s="4"/>
      <c r="L67" s="96"/>
      <c r="AC67" s="4"/>
    </row>
    <row r="68" spans="1:29" ht="13.5" thickBot="1" x14ac:dyDescent="0.25">
      <c r="A68" s="49"/>
      <c r="B68" s="100">
        <v>34</v>
      </c>
      <c r="C68" s="103">
        <f t="shared" ca="1" si="1"/>
        <v>47071</v>
      </c>
      <c r="D68" s="161">
        <f t="shared" si="2"/>
        <v>0</v>
      </c>
      <c r="E68" s="160">
        <f t="shared" si="3"/>
        <v>0</v>
      </c>
      <c r="F68" s="201">
        <f t="shared" si="4"/>
        <v>0</v>
      </c>
      <c r="G68" s="201"/>
      <c r="H68" s="105"/>
      <c r="I68" s="105"/>
      <c r="J68" s="4"/>
      <c r="L68" s="96"/>
      <c r="AC68" s="4"/>
    </row>
    <row r="69" spans="1:29" ht="13.5" thickBot="1" x14ac:dyDescent="0.25">
      <c r="A69" s="49"/>
      <c r="B69" s="100">
        <v>35</v>
      </c>
      <c r="C69" s="103">
        <f t="shared" ca="1" si="1"/>
        <v>47101</v>
      </c>
      <c r="D69" s="161">
        <f t="shared" si="2"/>
        <v>0</v>
      </c>
      <c r="E69" s="160">
        <f t="shared" si="3"/>
        <v>0</v>
      </c>
      <c r="F69" s="201">
        <f t="shared" si="4"/>
        <v>0</v>
      </c>
      <c r="G69" s="201"/>
      <c r="H69" s="105"/>
      <c r="I69" s="105"/>
      <c r="J69" s="4"/>
      <c r="L69" s="96"/>
      <c r="AC69" s="4"/>
    </row>
    <row r="70" spans="1:29" ht="13.5" thickBot="1" x14ac:dyDescent="0.25">
      <c r="A70" s="49"/>
      <c r="B70" s="100">
        <v>36</v>
      </c>
      <c r="C70" s="103">
        <f t="shared" ca="1" si="1"/>
        <v>47132</v>
      </c>
      <c r="D70" s="161">
        <f t="shared" si="2"/>
        <v>0</v>
      </c>
      <c r="E70" s="160">
        <f t="shared" si="3"/>
        <v>0</v>
      </c>
      <c r="F70" s="201">
        <f t="shared" si="4"/>
        <v>0</v>
      </c>
      <c r="G70" s="201"/>
      <c r="H70" s="105"/>
      <c r="I70" s="105"/>
      <c r="J70" s="4"/>
      <c r="L70" s="96"/>
      <c r="AC70" s="4"/>
    </row>
    <row r="71" spans="1:29" ht="13.5" thickBot="1" x14ac:dyDescent="0.25">
      <c r="A71" s="49"/>
      <c r="B71" s="100">
        <v>37</v>
      </c>
      <c r="C71" s="103">
        <f t="shared" ca="1" si="1"/>
        <v>47163</v>
      </c>
      <c r="D71" s="161">
        <f t="shared" si="2"/>
        <v>0</v>
      </c>
      <c r="E71" s="160">
        <f t="shared" si="3"/>
        <v>0</v>
      </c>
      <c r="F71" s="201">
        <f t="shared" si="4"/>
        <v>0</v>
      </c>
      <c r="G71" s="201"/>
      <c r="H71" s="105"/>
      <c r="I71" s="105"/>
      <c r="J71" s="4"/>
      <c r="L71" s="96"/>
      <c r="AC71" s="4"/>
    </row>
    <row r="72" spans="1:29" ht="13.5" thickBot="1" x14ac:dyDescent="0.25">
      <c r="A72" s="49"/>
      <c r="B72" s="100">
        <v>38</v>
      </c>
      <c r="C72" s="103">
        <f t="shared" ca="1" si="1"/>
        <v>47191</v>
      </c>
      <c r="D72" s="161">
        <f t="shared" si="2"/>
        <v>0</v>
      </c>
      <c r="E72" s="160">
        <f t="shared" si="3"/>
        <v>0</v>
      </c>
      <c r="F72" s="201">
        <f t="shared" si="4"/>
        <v>0</v>
      </c>
      <c r="G72" s="201"/>
      <c r="H72" s="105"/>
      <c r="I72" s="105"/>
      <c r="J72" s="4"/>
      <c r="L72" s="96"/>
      <c r="AC72" s="4"/>
    </row>
    <row r="73" spans="1:29" ht="13.5" thickBot="1" x14ac:dyDescent="0.25">
      <c r="A73" s="49"/>
      <c r="B73" s="100">
        <v>39</v>
      </c>
      <c r="C73" s="103">
        <f t="shared" ca="1" si="1"/>
        <v>47222</v>
      </c>
      <c r="D73" s="161">
        <f t="shared" si="2"/>
        <v>0</v>
      </c>
      <c r="E73" s="160">
        <f t="shared" si="3"/>
        <v>0</v>
      </c>
      <c r="F73" s="201">
        <f t="shared" si="4"/>
        <v>0</v>
      </c>
      <c r="G73" s="201"/>
      <c r="H73" s="105"/>
      <c r="I73" s="105"/>
      <c r="J73" s="4"/>
      <c r="L73" s="96"/>
      <c r="AC73" s="4"/>
    </row>
    <row r="74" spans="1:29" ht="13.5" thickBot="1" x14ac:dyDescent="0.25">
      <c r="A74" s="49"/>
      <c r="B74" s="100">
        <v>40</v>
      </c>
      <c r="C74" s="103">
        <f t="shared" ca="1" si="1"/>
        <v>47252</v>
      </c>
      <c r="D74" s="161">
        <f t="shared" si="2"/>
        <v>0</v>
      </c>
      <c r="E74" s="160">
        <f t="shared" si="3"/>
        <v>0</v>
      </c>
      <c r="F74" s="201">
        <f t="shared" si="4"/>
        <v>0</v>
      </c>
      <c r="G74" s="201"/>
      <c r="H74" s="105"/>
      <c r="I74" s="105"/>
      <c r="J74" s="4"/>
      <c r="L74" s="96"/>
      <c r="AC74" s="4"/>
    </row>
    <row r="75" spans="1:29" ht="13.5" thickBot="1" x14ac:dyDescent="0.25">
      <c r="A75" s="49"/>
      <c r="B75" s="100">
        <v>41</v>
      </c>
      <c r="C75" s="103">
        <f t="shared" ca="1" si="1"/>
        <v>47283</v>
      </c>
      <c r="D75" s="161">
        <f t="shared" si="2"/>
        <v>0</v>
      </c>
      <c r="E75" s="160">
        <f t="shared" si="3"/>
        <v>0</v>
      </c>
      <c r="F75" s="201">
        <f t="shared" si="4"/>
        <v>0</v>
      </c>
      <c r="G75" s="201"/>
      <c r="H75" s="105"/>
      <c r="I75" s="105"/>
      <c r="J75" s="4"/>
      <c r="L75" s="96"/>
      <c r="AC75" s="4"/>
    </row>
    <row r="76" spans="1:29" ht="13.5" thickBot="1" x14ac:dyDescent="0.25">
      <c r="A76" s="49"/>
      <c r="B76" s="100">
        <v>42</v>
      </c>
      <c r="C76" s="103">
        <f t="shared" ca="1" si="1"/>
        <v>47313</v>
      </c>
      <c r="D76" s="161">
        <f t="shared" si="2"/>
        <v>0</v>
      </c>
      <c r="E76" s="160">
        <f t="shared" si="3"/>
        <v>0</v>
      </c>
      <c r="F76" s="201">
        <f t="shared" si="4"/>
        <v>0</v>
      </c>
      <c r="G76" s="201"/>
      <c r="H76" s="105"/>
      <c r="I76" s="105"/>
      <c r="J76" s="4"/>
      <c r="L76" s="96"/>
      <c r="AC76" s="4"/>
    </row>
    <row r="77" spans="1:29" ht="13.5" thickBot="1" x14ac:dyDescent="0.25">
      <c r="A77" s="49"/>
      <c r="B77" s="100">
        <v>43</v>
      </c>
      <c r="C77" s="103">
        <f t="shared" ca="1" si="1"/>
        <v>47344</v>
      </c>
      <c r="D77" s="161">
        <f t="shared" si="2"/>
        <v>0</v>
      </c>
      <c r="E77" s="160">
        <f t="shared" si="3"/>
        <v>0</v>
      </c>
      <c r="F77" s="201">
        <f t="shared" si="4"/>
        <v>0</v>
      </c>
      <c r="G77" s="201"/>
      <c r="H77" s="105"/>
      <c r="I77" s="105"/>
      <c r="J77" s="4"/>
      <c r="L77" s="96"/>
      <c r="AC77" s="4"/>
    </row>
    <row r="78" spans="1:29" ht="13.5" thickBot="1" x14ac:dyDescent="0.25">
      <c r="A78" s="49"/>
      <c r="B78" s="100">
        <v>44</v>
      </c>
      <c r="C78" s="103">
        <f t="shared" ca="1" si="1"/>
        <v>47375</v>
      </c>
      <c r="D78" s="161">
        <f t="shared" si="2"/>
        <v>0</v>
      </c>
      <c r="E78" s="160">
        <f t="shared" si="3"/>
        <v>0</v>
      </c>
      <c r="F78" s="201">
        <f t="shared" si="4"/>
        <v>0</v>
      </c>
      <c r="G78" s="201"/>
      <c r="H78" s="105"/>
      <c r="I78" s="105"/>
      <c r="J78" s="4"/>
      <c r="L78" s="96"/>
      <c r="AC78" s="4"/>
    </row>
    <row r="79" spans="1:29" ht="13.5" thickBot="1" x14ac:dyDescent="0.25">
      <c r="A79" s="49"/>
      <c r="B79" s="100">
        <v>45</v>
      </c>
      <c r="C79" s="103">
        <f t="shared" ca="1" si="1"/>
        <v>47405</v>
      </c>
      <c r="D79" s="161">
        <f t="shared" si="2"/>
        <v>0</v>
      </c>
      <c r="E79" s="160">
        <f t="shared" si="3"/>
        <v>0</v>
      </c>
      <c r="F79" s="201">
        <f t="shared" si="4"/>
        <v>0</v>
      </c>
      <c r="G79" s="201"/>
      <c r="H79" s="105"/>
      <c r="I79" s="105"/>
      <c r="J79" s="4"/>
      <c r="L79" s="96"/>
      <c r="AC79" s="4"/>
    </row>
    <row r="80" spans="1:29" ht="13.5" thickBot="1" x14ac:dyDescent="0.25">
      <c r="A80" s="49"/>
      <c r="B80" s="100">
        <v>46</v>
      </c>
      <c r="C80" s="103">
        <f t="shared" ca="1" si="1"/>
        <v>47436</v>
      </c>
      <c r="D80" s="161">
        <f t="shared" si="2"/>
        <v>0</v>
      </c>
      <c r="E80" s="160">
        <f t="shared" si="3"/>
        <v>0</v>
      </c>
      <c r="F80" s="201">
        <f t="shared" si="4"/>
        <v>0</v>
      </c>
      <c r="G80" s="201"/>
      <c r="H80" s="105"/>
      <c r="I80" s="105"/>
      <c r="J80" s="4"/>
      <c r="L80" s="96"/>
      <c r="AC80" s="4"/>
    </row>
    <row r="81" spans="1:29" ht="13.5" thickBot="1" x14ac:dyDescent="0.25">
      <c r="A81" s="49"/>
      <c r="B81" s="100">
        <v>47</v>
      </c>
      <c r="C81" s="103">
        <f t="shared" ca="1" si="1"/>
        <v>47466</v>
      </c>
      <c r="D81" s="161">
        <f t="shared" si="2"/>
        <v>0</v>
      </c>
      <c r="E81" s="160">
        <f t="shared" si="3"/>
        <v>0</v>
      </c>
      <c r="F81" s="201">
        <f t="shared" si="4"/>
        <v>0</v>
      </c>
      <c r="G81" s="201"/>
      <c r="H81" s="105"/>
      <c r="I81" s="105"/>
      <c r="J81" s="4"/>
      <c r="L81" s="96"/>
      <c r="AC81" s="4"/>
    </row>
    <row r="82" spans="1:29" ht="13.5" thickBot="1" x14ac:dyDescent="0.25">
      <c r="A82" s="49"/>
      <c r="B82" s="100">
        <v>48</v>
      </c>
      <c r="C82" s="103">
        <f t="shared" ca="1" si="1"/>
        <v>47497</v>
      </c>
      <c r="D82" s="161">
        <f t="shared" si="2"/>
        <v>0</v>
      </c>
      <c r="E82" s="160">
        <f t="shared" si="3"/>
        <v>0</v>
      </c>
      <c r="F82" s="201">
        <f t="shared" si="4"/>
        <v>0</v>
      </c>
      <c r="G82" s="201"/>
      <c r="H82" s="105"/>
      <c r="I82" s="105"/>
      <c r="J82" s="4"/>
      <c r="L82" s="96"/>
      <c r="AC82" s="4"/>
    </row>
    <row r="83" spans="1:29" ht="13.5" thickBot="1" x14ac:dyDescent="0.25">
      <c r="A83" s="49"/>
      <c r="B83" s="100">
        <v>49</v>
      </c>
      <c r="C83" s="103">
        <f t="shared" ca="1" si="1"/>
        <v>47528</v>
      </c>
      <c r="D83" s="161">
        <f t="shared" si="2"/>
        <v>0</v>
      </c>
      <c r="E83" s="160">
        <f t="shared" si="3"/>
        <v>0</v>
      </c>
      <c r="F83" s="201">
        <f t="shared" si="4"/>
        <v>0</v>
      </c>
      <c r="G83" s="201"/>
      <c r="H83" s="105"/>
      <c r="I83" s="105"/>
      <c r="J83" s="4"/>
      <c r="L83" s="96"/>
      <c r="AC83" s="4"/>
    </row>
    <row r="84" spans="1:29" ht="13.5" thickBot="1" x14ac:dyDescent="0.25">
      <c r="A84" s="49"/>
      <c r="B84" s="100">
        <v>50</v>
      </c>
      <c r="C84" s="103">
        <f t="shared" ca="1" si="1"/>
        <v>47556</v>
      </c>
      <c r="D84" s="161">
        <f t="shared" si="2"/>
        <v>0</v>
      </c>
      <c r="E84" s="160">
        <f t="shared" si="3"/>
        <v>0</v>
      </c>
      <c r="F84" s="201">
        <f t="shared" si="4"/>
        <v>0</v>
      </c>
      <c r="G84" s="201"/>
      <c r="H84" s="105"/>
      <c r="I84" s="105"/>
      <c r="J84" s="4"/>
      <c r="L84" s="96"/>
      <c r="AC84" s="4"/>
    </row>
    <row r="85" spans="1:29" ht="13.5" thickBot="1" x14ac:dyDescent="0.25">
      <c r="A85" s="49"/>
      <c r="B85" s="100">
        <v>51</v>
      </c>
      <c r="C85" s="103">
        <f t="shared" ca="1" si="1"/>
        <v>47587</v>
      </c>
      <c r="D85" s="161">
        <f t="shared" si="2"/>
        <v>0</v>
      </c>
      <c r="E85" s="160">
        <f t="shared" si="3"/>
        <v>0</v>
      </c>
      <c r="F85" s="201">
        <f t="shared" si="4"/>
        <v>0</v>
      </c>
      <c r="G85" s="201"/>
      <c r="H85" s="105"/>
      <c r="I85" s="105"/>
      <c r="J85" s="4"/>
      <c r="L85" s="96"/>
      <c r="AC85" s="4"/>
    </row>
    <row r="86" spans="1:29" ht="13.5" thickBot="1" x14ac:dyDescent="0.25">
      <c r="A86" s="49"/>
      <c r="B86" s="100">
        <v>52</v>
      </c>
      <c r="C86" s="103">
        <f t="shared" ca="1" si="1"/>
        <v>47617</v>
      </c>
      <c r="D86" s="161">
        <f t="shared" si="2"/>
        <v>0</v>
      </c>
      <c r="E86" s="160">
        <f t="shared" si="3"/>
        <v>0</v>
      </c>
      <c r="F86" s="201">
        <f t="shared" si="4"/>
        <v>0</v>
      </c>
      <c r="G86" s="201"/>
      <c r="H86" s="105"/>
      <c r="I86" s="105"/>
      <c r="J86" s="4"/>
      <c r="L86" s="96"/>
      <c r="AC86" s="4"/>
    </row>
    <row r="87" spans="1:29" ht="13.5" thickBot="1" x14ac:dyDescent="0.25">
      <c r="A87" s="49"/>
      <c r="B87" s="100">
        <v>53</v>
      </c>
      <c r="C87" s="103">
        <f t="shared" ca="1" si="1"/>
        <v>47648</v>
      </c>
      <c r="D87" s="161">
        <f t="shared" si="2"/>
        <v>0</v>
      </c>
      <c r="E87" s="160">
        <f t="shared" si="3"/>
        <v>0</v>
      </c>
      <c r="F87" s="201">
        <f t="shared" si="4"/>
        <v>0</v>
      </c>
      <c r="G87" s="201"/>
      <c r="H87" s="105"/>
      <c r="I87" s="105"/>
      <c r="J87" s="4"/>
      <c r="L87" s="96"/>
      <c r="AC87" s="4"/>
    </row>
    <row r="88" spans="1:29" ht="13.5" thickBot="1" x14ac:dyDescent="0.25">
      <c r="A88" s="49"/>
      <c r="B88" s="100">
        <v>54</v>
      </c>
      <c r="C88" s="103">
        <f t="shared" ca="1" si="1"/>
        <v>47678</v>
      </c>
      <c r="D88" s="161">
        <f t="shared" si="2"/>
        <v>0</v>
      </c>
      <c r="E88" s="160">
        <f t="shared" si="3"/>
        <v>0</v>
      </c>
      <c r="F88" s="201">
        <f t="shared" si="4"/>
        <v>0</v>
      </c>
      <c r="G88" s="201"/>
      <c r="H88" s="105"/>
      <c r="I88" s="105"/>
      <c r="J88" s="4"/>
      <c r="L88" s="96"/>
      <c r="AC88" s="4"/>
    </row>
    <row r="89" spans="1:29" ht="13.5" thickBot="1" x14ac:dyDescent="0.25">
      <c r="A89" s="49"/>
      <c r="B89" s="100">
        <v>55</v>
      </c>
      <c r="C89" s="103">
        <f t="shared" ca="1" si="1"/>
        <v>47709</v>
      </c>
      <c r="D89" s="161">
        <f t="shared" si="2"/>
        <v>0</v>
      </c>
      <c r="E89" s="160">
        <f t="shared" si="3"/>
        <v>0</v>
      </c>
      <c r="F89" s="201">
        <f t="shared" si="4"/>
        <v>0</v>
      </c>
      <c r="G89" s="201"/>
      <c r="H89" s="105"/>
      <c r="I89" s="105"/>
      <c r="J89" s="4"/>
      <c r="L89" s="96"/>
      <c r="AC89" s="4"/>
    </row>
    <row r="90" spans="1:29" ht="13.5" thickBot="1" x14ac:dyDescent="0.25">
      <c r="A90" s="49"/>
      <c r="B90" s="100">
        <v>56</v>
      </c>
      <c r="C90" s="103">
        <f t="shared" ca="1" si="1"/>
        <v>47740</v>
      </c>
      <c r="D90" s="161">
        <f t="shared" si="2"/>
        <v>0</v>
      </c>
      <c r="E90" s="160">
        <f t="shared" si="3"/>
        <v>0</v>
      </c>
      <c r="F90" s="201">
        <f t="shared" si="4"/>
        <v>0</v>
      </c>
      <c r="G90" s="201"/>
      <c r="H90" s="105"/>
      <c r="I90" s="105"/>
      <c r="J90" s="4"/>
      <c r="L90" s="96"/>
      <c r="AC90" s="4"/>
    </row>
    <row r="91" spans="1:29" ht="13.5" thickBot="1" x14ac:dyDescent="0.25">
      <c r="A91" s="49"/>
      <c r="B91" s="100">
        <v>57</v>
      </c>
      <c r="C91" s="103">
        <f t="shared" ca="1" si="1"/>
        <v>47770</v>
      </c>
      <c r="D91" s="161">
        <f t="shared" si="2"/>
        <v>0</v>
      </c>
      <c r="E91" s="160">
        <f t="shared" si="3"/>
        <v>0</v>
      </c>
      <c r="F91" s="201">
        <f t="shared" si="4"/>
        <v>0</v>
      </c>
      <c r="G91" s="201"/>
      <c r="H91" s="105"/>
      <c r="I91" s="105"/>
      <c r="J91" s="4"/>
      <c r="L91" s="96"/>
      <c r="AC91" s="4"/>
    </row>
    <row r="92" spans="1:29" ht="13.5" thickBot="1" x14ac:dyDescent="0.25">
      <c r="A92" s="49"/>
      <c r="B92" s="100">
        <v>58</v>
      </c>
      <c r="C92" s="103">
        <f t="shared" ca="1" si="1"/>
        <v>47801</v>
      </c>
      <c r="D92" s="161">
        <f t="shared" si="2"/>
        <v>0</v>
      </c>
      <c r="E92" s="160">
        <f t="shared" si="3"/>
        <v>0</v>
      </c>
      <c r="F92" s="201">
        <f t="shared" si="4"/>
        <v>0</v>
      </c>
      <c r="G92" s="201"/>
      <c r="H92" s="105"/>
      <c r="I92" s="105"/>
      <c r="J92" s="4"/>
      <c r="L92" s="96"/>
      <c r="AC92" s="4"/>
    </row>
    <row r="93" spans="1:29" ht="13.5" thickBot="1" x14ac:dyDescent="0.25">
      <c r="A93" s="49"/>
      <c r="B93" s="100">
        <v>59</v>
      </c>
      <c r="C93" s="103">
        <f t="shared" ca="1" si="1"/>
        <v>47831</v>
      </c>
      <c r="D93" s="161">
        <f t="shared" si="2"/>
        <v>0</v>
      </c>
      <c r="E93" s="160">
        <f t="shared" si="3"/>
        <v>0</v>
      </c>
      <c r="F93" s="201">
        <f t="shared" si="4"/>
        <v>0</v>
      </c>
      <c r="G93" s="201"/>
      <c r="H93" s="105"/>
      <c r="I93" s="105"/>
      <c r="J93" s="4"/>
      <c r="L93" s="96"/>
      <c r="AC93" s="4"/>
    </row>
    <row r="94" spans="1:29" ht="13.5" thickBot="1" x14ac:dyDescent="0.25">
      <c r="A94" s="49"/>
      <c r="B94" s="157">
        <v>60</v>
      </c>
      <c r="C94" s="158">
        <f t="shared" ca="1" si="1"/>
        <v>47862</v>
      </c>
      <c r="D94" s="161">
        <f t="shared" si="2"/>
        <v>0</v>
      </c>
      <c r="E94" s="160">
        <f t="shared" si="3"/>
        <v>0</v>
      </c>
      <c r="F94" s="202">
        <f t="shared" si="4"/>
        <v>0</v>
      </c>
      <c r="G94" s="202"/>
      <c r="H94" s="105"/>
      <c r="I94" s="105"/>
      <c r="J94" s="4"/>
      <c r="L94" s="96"/>
      <c r="AC94" s="4"/>
    </row>
    <row r="95" spans="1:29" ht="16.5" thickBot="1" x14ac:dyDescent="0.25">
      <c r="A95" s="49"/>
      <c r="B95" s="206" t="s">
        <v>3</v>
      </c>
      <c r="C95" s="207"/>
      <c r="D95" s="163">
        <f>SUM(D35:D94)</f>
        <v>14999.999999999995</v>
      </c>
      <c r="E95" s="163">
        <f>SUM(E35:E94)</f>
        <v>4334.2695224028275</v>
      </c>
      <c r="F95" s="208">
        <f>SUM(F35:G94)</f>
        <v>19334.269522402825</v>
      </c>
      <c r="G95" s="209"/>
      <c r="H95" s="105"/>
      <c r="I95" s="105"/>
      <c r="J95" s="4"/>
      <c r="L95" s="96"/>
      <c r="AC95" s="4"/>
    </row>
    <row r="96" spans="1:29" x14ac:dyDescent="0.2">
      <c r="A96" s="49"/>
      <c r="B96" s="2"/>
      <c r="C96" s="2"/>
      <c r="D96" s="2"/>
      <c r="E96" s="2"/>
      <c r="F96" s="2"/>
      <c r="G96" s="35"/>
      <c r="I96" s="105"/>
      <c r="J96" s="105"/>
    </row>
    <row r="97" spans="1:10" x14ac:dyDescent="0.2">
      <c r="A97" s="49"/>
      <c r="B97" s="2"/>
      <c r="C97" s="27"/>
      <c r="D97" s="28"/>
      <c r="E97" s="200" t="s">
        <v>5</v>
      </c>
      <c r="F97" s="200"/>
      <c r="G97" s="200"/>
      <c r="I97" s="105"/>
      <c r="J97" s="105"/>
    </row>
    <row r="98" spans="1:10" x14ac:dyDescent="0.2">
      <c r="A98" s="49"/>
      <c r="B98" s="2"/>
      <c r="C98" s="29"/>
      <c r="D98" s="2"/>
      <c r="E98" s="30" t="s">
        <v>6</v>
      </c>
      <c r="F98" s="31"/>
      <c r="G98" s="40"/>
      <c r="I98" s="105"/>
      <c r="J98" s="105"/>
    </row>
    <row r="99" spans="1:10" x14ac:dyDescent="0.2">
      <c r="A99" s="49"/>
      <c r="B99" s="50"/>
      <c r="C99" s="50"/>
      <c r="D99" s="50"/>
      <c r="E99" s="50"/>
      <c r="F99" s="50"/>
      <c r="G99" s="106"/>
      <c r="H99" s="51"/>
      <c r="I99" s="105"/>
      <c r="J99" s="105"/>
    </row>
    <row r="100" spans="1:10" x14ac:dyDescent="0.2">
      <c r="A100" s="49"/>
      <c r="B100" s="50"/>
      <c r="C100" s="50"/>
      <c r="D100" s="50"/>
      <c r="E100" s="50"/>
      <c r="F100" s="50"/>
      <c r="G100" s="106"/>
      <c r="H100" s="51"/>
      <c r="I100" s="52"/>
    </row>
    <row r="101" spans="1:10" x14ac:dyDescent="0.2">
      <c r="A101" s="49"/>
      <c r="B101" s="50"/>
      <c r="C101" s="50"/>
      <c r="D101" s="50"/>
      <c r="E101" s="50"/>
      <c r="F101" s="50"/>
      <c r="G101" s="106"/>
      <c r="H101" s="51"/>
      <c r="I101" s="52"/>
    </row>
    <row r="102" spans="1:10" x14ac:dyDescent="0.2">
      <c r="A102" s="49"/>
      <c r="B102" s="50"/>
      <c r="C102" s="50"/>
      <c r="D102" s="50"/>
      <c r="E102" s="50"/>
      <c r="F102" s="50"/>
      <c r="G102" s="106"/>
      <c r="H102" s="51"/>
      <c r="I102" s="52"/>
    </row>
  </sheetData>
  <sheetProtection algorithmName="SHA-512" hashValue="6l6+S2g7sKqUoEcm58rmLDBG8+fL2+8krI95v8T4RFbQC/708gdvrL0gOjahgTT0jlA/i8A6N2RQzptW8Un8og==" saltValue="+IqqtJKnbIO9WRl3XRtMbw==" spinCount="100000" sheet="1" selectLockedCells="1"/>
  <dataConsolidate/>
  <mergeCells count="90">
    <mergeCell ref="B9:E9"/>
    <mergeCell ref="H1:I1"/>
    <mergeCell ref="H2:I2"/>
    <mergeCell ref="F3:F4"/>
    <mergeCell ref="H3:I3"/>
    <mergeCell ref="B5:E5"/>
    <mergeCell ref="B7:E7"/>
    <mergeCell ref="B13:E13"/>
    <mergeCell ref="G13:H13"/>
    <mergeCell ref="B17:E17"/>
    <mergeCell ref="G17:H17"/>
    <mergeCell ref="B19:E19"/>
    <mergeCell ref="G19:H19"/>
    <mergeCell ref="B15:E15"/>
    <mergeCell ref="B21:E21"/>
    <mergeCell ref="G21:H21"/>
    <mergeCell ref="B24:E24"/>
    <mergeCell ref="G24:H24"/>
    <mergeCell ref="B26:E26"/>
    <mergeCell ref="G26:H26"/>
    <mergeCell ref="F40:G40"/>
    <mergeCell ref="B28:E28"/>
    <mergeCell ref="G28:H28"/>
    <mergeCell ref="B30:E30"/>
    <mergeCell ref="F33:G33"/>
    <mergeCell ref="F34:G34"/>
    <mergeCell ref="F35:G35"/>
    <mergeCell ref="F36:G36"/>
    <mergeCell ref="F37:G37"/>
    <mergeCell ref="F38:G38"/>
    <mergeCell ref="F39:G39"/>
    <mergeCell ref="B32:G32"/>
    <mergeCell ref="F52:G52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84:G84"/>
    <mergeCell ref="F64:G64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73:G73"/>
    <mergeCell ref="F74:G74"/>
    <mergeCell ref="F75:G75"/>
    <mergeCell ref="F82:G82"/>
    <mergeCell ref="F83:G83"/>
    <mergeCell ref="F68:G68"/>
    <mergeCell ref="F69:G69"/>
    <mergeCell ref="F70:G70"/>
    <mergeCell ref="F71:G71"/>
    <mergeCell ref="F72:G72"/>
    <mergeCell ref="F85:G85"/>
    <mergeCell ref="F86:G86"/>
    <mergeCell ref="B11:E11"/>
    <mergeCell ref="B95:C95"/>
    <mergeCell ref="F95:G95"/>
    <mergeCell ref="F88:G88"/>
    <mergeCell ref="F77:G77"/>
    <mergeCell ref="F78:G78"/>
    <mergeCell ref="F79:G79"/>
    <mergeCell ref="F80:G80"/>
    <mergeCell ref="F81:G81"/>
    <mergeCell ref="F87:G87"/>
    <mergeCell ref="F76:G76"/>
    <mergeCell ref="F65:G65"/>
    <mergeCell ref="F66:G66"/>
    <mergeCell ref="F67:G67"/>
    <mergeCell ref="E97:G97"/>
    <mergeCell ref="F89:G89"/>
    <mergeCell ref="F90:G90"/>
    <mergeCell ref="F91:G91"/>
    <mergeCell ref="F92:G92"/>
    <mergeCell ref="F93:G93"/>
    <mergeCell ref="F94:G94"/>
  </mergeCells>
  <dataValidations count="1">
    <dataValidation type="list" showInputMessage="1" showErrorMessage="1" sqref="H2:I2" xr:uid="{00000000-0002-0000-0600-000000000000}">
      <formula1>$K$22:$K$26</formula1>
    </dataValidation>
  </dataValidations>
  <pageMargins left="0.39370078740157483" right="0.35433070866141736" top="0.59055118110236227" bottom="0.59055118110236227" header="0.51181102362204722" footer="0.51181102362204722"/>
  <pageSetup paperSize="9" scale="60" firstPageNumber="2" orientation="portrait" verticalDpi="300" r:id="rId1"/>
  <headerFooter alignWithMargins="0"/>
  <rowBreaks count="1" manualBreakCount="1">
    <brk id="95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/>
  <dimension ref="A1:O8"/>
  <sheetViews>
    <sheetView zoomScale="85" zoomScaleNormal="85" workbookViewId="0">
      <selection activeCell="N20" sqref="N20"/>
    </sheetView>
  </sheetViews>
  <sheetFormatPr defaultColWidth="9.140625" defaultRowHeight="12.75" x14ac:dyDescent="0.2"/>
  <cols>
    <col min="1" max="1" width="31" style="110" customWidth="1"/>
    <col min="2" max="2" width="11.42578125" style="110" customWidth="1"/>
    <col min="3" max="5" width="9.140625" style="110"/>
    <col min="6" max="6" width="17.28515625" style="110" customWidth="1"/>
    <col min="7" max="7" width="16.85546875" style="110" customWidth="1"/>
    <col min="8" max="8" width="15.7109375" style="110" customWidth="1"/>
    <col min="9" max="11" width="9.140625" style="110" customWidth="1"/>
    <col min="12" max="14" width="17.42578125" style="110" customWidth="1"/>
    <col min="15" max="16384" width="9.140625" style="110"/>
  </cols>
  <sheetData>
    <row r="1" spans="1:15" ht="27.75" customHeight="1" x14ac:dyDescent="0.2">
      <c r="B1" s="110" t="s">
        <v>19</v>
      </c>
      <c r="C1" s="110" t="s">
        <v>20</v>
      </c>
      <c r="D1" s="182" t="s">
        <v>69</v>
      </c>
      <c r="E1" s="168" t="s">
        <v>76</v>
      </c>
      <c r="F1" s="110" t="s">
        <v>21</v>
      </c>
      <c r="G1" s="110" t="s">
        <v>22</v>
      </c>
      <c r="K1" s="110" t="s">
        <v>14</v>
      </c>
      <c r="L1" s="110" t="s">
        <v>2</v>
      </c>
      <c r="M1" s="110" t="s">
        <v>28</v>
      </c>
      <c r="N1" s="110" t="s">
        <v>29</v>
      </c>
    </row>
    <row r="2" spans="1:15" x14ac:dyDescent="0.2">
      <c r="D2" s="113"/>
      <c r="E2" s="113"/>
      <c r="F2" s="113"/>
      <c r="G2" s="113"/>
      <c r="I2" s="110" t="s">
        <v>24</v>
      </c>
      <c r="J2" s="110" t="s">
        <v>23</v>
      </c>
      <c r="L2" s="114"/>
      <c r="M2" s="114"/>
      <c r="N2" s="114"/>
    </row>
    <row r="3" spans="1:15" x14ac:dyDescent="0.2">
      <c r="A3" s="110">
        <v>1</v>
      </c>
      <c r="B3" s="110">
        <v>2</v>
      </c>
      <c r="C3" s="110">
        <v>3</v>
      </c>
      <c r="D3" s="110">
        <v>4</v>
      </c>
      <c r="F3" s="110">
        <v>5</v>
      </c>
      <c r="G3" s="110">
        <v>6</v>
      </c>
      <c r="H3" s="110">
        <v>7</v>
      </c>
      <c r="I3" s="110">
        <v>8</v>
      </c>
      <c r="J3" s="110">
        <v>9</v>
      </c>
      <c r="K3" s="110">
        <v>10</v>
      </c>
      <c r="L3" s="110">
        <v>11</v>
      </c>
      <c r="M3" s="110">
        <v>12</v>
      </c>
      <c r="N3" s="110">
        <v>13</v>
      </c>
      <c r="O3" s="110">
        <v>14</v>
      </c>
    </row>
    <row r="4" spans="1:15" x14ac:dyDescent="0.2">
      <c r="A4" s="170" t="s">
        <v>77</v>
      </c>
      <c r="B4" s="170">
        <v>500000</v>
      </c>
      <c r="C4" s="170">
        <v>60</v>
      </c>
      <c r="D4" s="171">
        <v>0.39</v>
      </c>
      <c r="E4" s="171">
        <v>0.55000000000000004</v>
      </c>
      <c r="F4" s="171">
        <v>0</v>
      </c>
      <c r="G4" s="171">
        <v>0</v>
      </c>
      <c r="H4" s="170" t="s">
        <v>81</v>
      </c>
      <c r="I4" s="170">
        <v>500000</v>
      </c>
      <c r="J4" s="170"/>
      <c r="K4" s="170">
        <v>1</v>
      </c>
      <c r="L4" s="172">
        <v>3738.9128907694981</v>
      </c>
      <c r="M4" s="173">
        <v>0</v>
      </c>
      <c r="N4" s="174">
        <v>0</v>
      </c>
      <c r="O4" s="170">
        <v>5000</v>
      </c>
    </row>
    <row r="5" spans="1:15" x14ac:dyDescent="0.2">
      <c r="A5" s="170" t="s">
        <v>78</v>
      </c>
      <c r="B5" s="170">
        <v>500000</v>
      </c>
      <c r="C5" s="170">
        <v>48</v>
      </c>
      <c r="D5" s="171">
        <v>0.39</v>
      </c>
      <c r="E5" s="171">
        <v>0.55000000000000004</v>
      </c>
      <c r="F5" s="171">
        <v>0</v>
      </c>
      <c r="G5" s="171">
        <v>0</v>
      </c>
      <c r="H5" s="170" t="s">
        <v>81</v>
      </c>
      <c r="I5" s="170">
        <v>500000</v>
      </c>
      <c r="J5" s="170"/>
      <c r="K5" s="170">
        <v>1</v>
      </c>
      <c r="L5" s="172">
        <v>3738.9128907694981</v>
      </c>
      <c r="M5" s="173">
        <v>0</v>
      </c>
      <c r="N5" s="174">
        <v>0</v>
      </c>
      <c r="O5" s="170">
        <v>5000</v>
      </c>
    </row>
    <row r="6" spans="1:15" x14ac:dyDescent="0.2">
      <c r="A6" s="170" t="s">
        <v>79</v>
      </c>
      <c r="B6" s="170">
        <v>500000</v>
      </c>
      <c r="C6" s="170">
        <v>36</v>
      </c>
      <c r="D6" s="171">
        <v>0.39</v>
      </c>
      <c r="E6" s="171">
        <v>0.55000000000000004</v>
      </c>
      <c r="F6" s="171">
        <v>0</v>
      </c>
      <c r="G6" s="171">
        <v>0</v>
      </c>
      <c r="H6" s="170" t="s">
        <v>81</v>
      </c>
      <c r="I6" s="170">
        <v>500000</v>
      </c>
      <c r="J6" s="170"/>
      <c r="K6" s="170">
        <v>1</v>
      </c>
      <c r="L6" s="172">
        <v>3738.9128907694981</v>
      </c>
      <c r="M6" s="173">
        <v>0</v>
      </c>
      <c r="N6" s="174">
        <v>0</v>
      </c>
      <c r="O6" s="170">
        <v>5000</v>
      </c>
    </row>
    <row r="7" spans="1:15" x14ac:dyDescent="0.2">
      <c r="A7" s="170" t="s">
        <v>82</v>
      </c>
      <c r="B7" s="170">
        <v>500000</v>
      </c>
      <c r="C7" s="170">
        <v>24</v>
      </c>
      <c r="D7" s="171">
        <v>0.39</v>
      </c>
      <c r="E7" s="171">
        <v>0.55000000000000004</v>
      </c>
      <c r="F7" s="171">
        <v>0</v>
      </c>
      <c r="G7" s="171">
        <v>0</v>
      </c>
      <c r="H7" s="170" t="s">
        <v>81</v>
      </c>
      <c r="I7" s="170">
        <v>500000</v>
      </c>
      <c r="J7" s="170"/>
      <c r="K7" s="170">
        <v>1</v>
      </c>
      <c r="L7" s="172">
        <v>3738.9128907694981</v>
      </c>
      <c r="M7" s="173">
        <v>0</v>
      </c>
      <c r="N7" s="174">
        <v>0</v>
      </c>
      <c r="O7" s="170">
        <v>5000</v>
      </c>
    </row>
    <row r="8" spans="1:15" x14ac:dyDescent="0.2">
      <c r="A8" s="170" t="s">
        <v>83</v>
      </c>
      <c r="B8" s="170">
        <v>500000</v>
      </c>
      <c r="C8" s="170">
        <v>12</v>
      </c>
      <c r="D8" s="171">
        <v>0.39</v>
      </c>
      <c r="E8" s="171">
        <v>0.55000000000000004</v>
      </c>
      <c r="F8" s="171">
        <v>0</v>
      </c>
      <c r="G8" s="171">
        <v>0</v>
      </c>
      <c r="H8" s="170" t="s">
        <v>81</v>
      </c>
      <c r="I8" s="170">
        <v>500000</v>
      </c>
      <c r="J8" s="170"/>
      <c r="K8" s="170">
        <v>1</v>
      </c>
      <c r="L8" s="172">
        <v>3738.9128907694981</v>
      </c>
      <c r="M8" s="173">
        <v>0</v>
      </c>
      <c r="N8" s="174">
        <v>0</v>
      </c>
      <c r="O8" s="170">
        <v>5000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5"/>
  <dimension ref="A1:H37"/>
  <sheetViews>
    <sheetView zoomScale="70" zoomScaleNormal="70" workbookViewId="0">
      <selection activeCell="E1" sqref="E1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241" t="s">
        <v>15</v>
      </c>
      <c r="B1" s="242"/>
      <c r="C1" s="242"/>
      <c r="D1" s="243"/>
      <c r="E1" s="60">
        <v>5000</v>
      </c>
      <c r="F1" s="61" t="s">
        <v>10</v>
      </c>
      <c r="G1" s="61" t="s">
        <v>9</v>
      </c>
    </row>
    <row r="2" spans="1:8" x14ac:dyDescent="0.2">
      <c r="A2" s="62"/>
      <c r="B2" s="4"/>
      <c r="C2" s="62"/>
      <c r="D2" s="4"/>
      <c r="E2" s="63"/>
      <c r="F2" s="64"/>
      <c r="G2" s="41"/>
      <c r="H2" s="4"/>
    </row>
    <row r="3" spans="1:8" ht="15.75" x14ac:dyDescent="0.25">
      <c r="A3" s="179" t="s">
        <v>75</v>
      </c>
      <c r="B3" s="4"/>
      <c r="C3" s="62"/>
      <c r="D3" s="4"/>
      <c r="E3" s="63"/>
      <c r="F3" s="64"/>
      <c r="G3" s="41"/>
      <c r="H3" s="4"/>
    </row>
    <row r="4" spans="1:8" x14ac:dyDescent="0.2">
      <c r="A4" s="62"/>
      <c r="B4" s="4"/>
      <c r="C4" s="62"/>
      <c r="D4" s="4"/>
      <c r="E4" s="63"/>
      <c r="F4" s="64"/>
      <c r="G4" s="41"/>
      <c r="H4" s="4"/>
    </row>
    <row r="5" spans="1:8" x14ac:dyDescent="0.2">
      <c r="A5" s="236" t="s">
        <v>73</v>
      </c>
      <c r="B5" s="237"/>
      <c r="C5" s="237"/>
      <c r="D5" s="238"/>
      <c r="E5" s="7"/>
      <c r="F5" s="8"/>
      <c r="G5" s="7"/>
    </row>
    <row r="6" spans="1:8" x14ac:dyDescent="0.2">
      <c r="A6" s="47"/>
      <c r="B6" s="47"/>
      <c r="C6" s="47"/>
      <c r="D6" s="47"/>
      <c r="E6" s="66"/>
      <c r="F6" s="156"/>
      <c r="G6" s="66"/>
    </row>
    <row r="7" spans="1:8" x14ac:dyDescent="0.2">
      <c r="A7" s="236" t="s">
        <v>80</v>
      </c>
      <c r="B7" s="237"/>
      <c r="C7" s="237"/>
      <c r="D7" s="238"/>
      <c r="E7" s="7"/>
      <c r="F7" s="8"/>
      <c r="G7" s="7"/>
    </row>
    <row r="8" spans="1:8" x14ac:dyDescent="0.2">
      <c r="A8" s="62"/>
      <c r="B8" s="4"/>
      <c r="C8" s="62"/>
      <c r="D8" s="4"/>
      <c r="E8" s="66"/>
      <c r="F8" s="64"/>
      <c r="G8" s="41"/>
      <c r="H8" s="4"/>
    </row>
    <row r="9" spans="1:8" x14ac:dyDescent="0.2">
      <c r="A9" s="236" t="s">
        <v>56</v>
      </c>
      <c r="B9" s="237"/>
      <c r="C9" s="237"/>
      <c r="D9" s="238"/>
      <c r="E9" s="7"/>
      <c r="F9" s="8"/>
      <c r="G9" s="8"/>
    </row>
    <row r="10" spans="1:8" x14ac:dyDescent="0.2">
      <c r="A10" s="62"/>
      <c r="B10" s="4"/>
      <c r="C10" s="62"/>
      <c r="D10" s="4"/>
      <c r="E10" s="67"/>
      <c r="F10" s="64"/>
      <c r="G10" s="41"/>
      <c r="H10" s="4"/>
    </row>
    <row r="11" spans="1:8" x14ac:dyDescent="0.2">
      <c r="A11" s="236" t="s">
        <v>57</v>
      </c>
      <c r="B11" s="237"/>
      <c r="C11" s="237"/>
      <c r="D11" s="238"/>
      <c r="E11" s="7"/>
      <c r="F11" s="8"/>
      <c r="G11" s="8"/>
    </row>
    <row r="12" spans="1:8" x14ac:dyDescent="0.2">
      <c r="A12" s="62"/>
      <c r="B12" s="4"/>
      <c r="C12" s="62"/>
      <c r="D12" s="4"/>
      <c r="E12" s="66"/>
      <c r="F12" s="64"/>
      <c r="G12" s="41"/>
      <c r="H12" s="4"/>
    </row>
    <row r="13" spans="1:8" x14ac:dyDescent="0.2">
      <c r="A13" s="236" t="s">
        <v>68</v>
      </c>
      <c r="B13" s="237"/>
      <c r="C13" s="237"/>
      <c r="D13" s="238"/>
      <c r="E13" s="68"/>
      <c r="F13" s="8"/>
      <c r="G13" s="8"/>
    </row>
    <row r="14" spans="1:8" x14ac:dyDescent="0.2">
      <c r="A14" s="69"/>
      <c r="B14" s="12"/>
      <c r="C14" s="69"/>
      <c r="D14" s="70"/>
      <c r="E14" s="46"/>
      <c r="F14" s="64"/>
      <c r="G14" s="71"/>
      <c r="H14" s="12"/>
    </row>
    <row r="15" spans="1:8" x14ac:dyDescent="0.2">
      <c r="A15" s="69"/>
      <c r="B15" s="12"/>
      <c r="C15" s="69"/>
      <c r="D15" s="72"/>
      <c r="E15" s="46"/>
      <c r="F15" s="64"/>
      <c r="G15" s="71"/>
      <c r="H15" s="12"/>
    </row>
    <row r="16" spans="1:8" x14ac:dyDescent="0.2">
      <c r="A16" s="236" t="s">
        <v>67</v>
      </c>
      <c r="B16" s="237"/>
      <c r="C16" s="237"/>
      <c r="D16" s="238"/>
      <c r="E16" s="13"/>
      <c r="F16" s="13"/>
      <c r="G16" s="14"/>
      <c r="H16" s="12"/>
    </row>
    <row r="17" spans="1:8" x14ac:dyDescent="0.2">
      <c r="A17" s="47"/>
      <c r="B17" s="47"/>
      <c r="C17" s="47"/>
      <c r="D17" s="47"/>
      <c r="E17" s="73"/>
      <c r="F17" s="74"/>
      <c r="G17" s="75"/>
      <c r="H17" s="12"/>
    </row>
    <row r="18" spans="1:8" x14ac:dyDescent="0.2">
      <c r="A18" s="236" t="s">
        <v>63</v>
      </c>
      <c r="B18" s="237"/>
      <c r="C18" s="237"/>
      <c r="D18" s="238"/>
      <c r="E18" s="58"/>
      <c r="F18" s="59"/>
      <c r="G18" s="14"/>
      <c r="H18" s="12"/>
    </row>
    <row r="19" spans="1:8" x14ac:dyDescent="0.2">
      <c r="A19" s="65"/>
      <c r="B19" s="65"/>
      <c r="C19" s="65"/>
      <c r="D19" s="65"/>
      <c r="E19" s="76"/>
      <c r="F19" s="74"/>
      <c r="G19" s="75"/>
      <c r="H19" s="12"/>
    </row>
    <row r="20" spans="1:8" x14ac:dyDescent="0.2">
      <c r="A20" s="236" t="s">
        <v>66</v>
      </c>
      <c r="B20" s="237"/>
      <c r="C20" s="237"/>
      <c r="D20" s="238"/>
      <c r="E20" s="21"/>
      <c r="F20" s="8"/>
      <c r="G20" s="8"/>
      <c r="H20" s="12"/>
    </row>
    <row r="21" spans="1:8" x14ac:dyDescent="0.2">
      <c r="A21" s="47"/>
      <c r="B21" s="47"/>
      <c r="C21" s="47"/>
      <c r="D21" s="47"/>
      <c r="E21" s="155"/>
      <c r="F21" s="156"/>
      <c r="G21" s="156"/>
      <c r="H21" s="12"/>
    </row>
    <row r="22" spans="1:8" x14ac:dyDescent="0.2">
      <c r="A22" s="47" t="s">
        <v>70</v>
      </c>
      <c r="B22" s="47"/>
      <c r="C22" s="47"/>
      <c r="D22" s="47"/>
      <c r="E22" s="155"/>
      <c r="F22" s="156"/>
      <c r="G22" s="156"/>
      <c r="H22" s="12"/>
    </row>
    <row r="23" spans="1:8" x14ac:dyDescent="0.2">
      <c r="A23" s="47"/>
      <c r="B23" s="47"/>
      <c r="C23" s="47"/>
      <c r="D23" s="47"/>
      <c r="E23" s="66"/>
      <c r="F23" s="74"/>
      <c r="G23" s="75"/>
      <c r="H23" s="12"/>
    </row>
    <row r="24" spans="1:8" ht="33.75" x14ac:dyDescent="0.2">
      <c r="A24" s="239" t="s">
        <v>7</v>
      </c>
      <c r="B24" s="240"/>
      <c r="C24" s="77" t="s">
        <v>2</v>
      </c>
      <c r="D24" s="78" t="s">
        <v>26</v>
      </c>
      <c r="E24" s="79" t="s">
        <v>12</v>
      </c>
      <c r="F24" s="79" t="s">
        <v>11</v>
      </c>
      <c r="G24" s="79" t="s">
        <v>13</v>
      </c>
      <c r="H24" s="79" t="s">
        <v>25</v>
      </c>
    </row>
    <row r="25" spans="1:8" x14ac:dyDescent="0.2">
      <c r="A25" s="244" t="s">
        <v>18</v>
      </c>
      <c r="B25" s="245"/>
      <c r="C25" s="38">
        <f>IF(ISERROR(L20),"",L20)</f>
        <v>0</v>
      </c>
      <c r="D25" s="38">
        <f>IF(ISERROR(L16),"",L16)</f>
        <v>0</v>
      </c>
      <c r="E25" s="55">
        <f>IF(ISERROR(L18),"",L18)</f>
        <v>0</v>
      </c>
      <c r="F25" s="22" t="str">
        <f>IF(ISERROR(D25/#REF!),"",D25/#REF!)</f>
        <v/>
      </c>
      <c r="G25" s="23" t="str">
        <f>IF(ISERROR(D25/#REF!/F$5),"",D25/#REF!/F$5)</f>
        <v/>
      </c>
      <c r="H25" s="23" t="str">
        <f>IF(ISERROR(C25/F$5),"",C25/F$5)</f>
        <v/>
      </c>
    </row>
    <row r="26" spans="1:8" x14ac:dyDescent="0.2">
      <c r="A26" s="244" t="s">
        <v>8</v>
      </c>
      <c r="B26" s="245"/>
      <c r="C26" s="39">
        <f>IF(ISERROR(M20),"",M20)</f>
        <v>0</v>
      </c>
      <c r="D26" s="39">
        <f>IF(ISERROR(M16),"",M16)</f>
        <v>0</v>
      </c>
      <c r="E26" s="56">
        <f>IF(ISERROR(M18),"",M18)</f>
        <v>0</v>
      </c>
      <c r="F26" s="22" t="str">
        <f>IF(ISERROR(D26/#REF!),"",D26/#REF!)</f>
        <v/>
      </c>
      <c r="G26" s="23" t="str">
        <f>IF(ISERROR(D26/#REF!/F$5),"",D26/#REF!/F$5)</f>
        <v/>
      </c>
      <c r="H26" s="23" t="str">
        <f>IF(ISERROR(C26/F$5),"",C26/F$5)</f>
        <v/>
      </c>
    </row>
    <row r="27" spans="1:8" x14ac:dyDescent="0.2">
      <c r="A27" s="244" t="s">
        <v>16</v>
      </c>
      <c r="B27" s="245"/>
      <c r="C27" s="39">
        <f>IF(ISERROR(N20),"",N20)</f>
        <v>0</v>
      </c>
      <c r="D27" s="39">
        <f>IF(ISERROR(N16),"",N16)</f>
        <v>0</v>
      </c>
      <c r="E27" s="56">
        <f>IF(ISERROR(N18),"",N18)</f>
        <v>0</v>
      </c>
      <c r="F27" s="22" t="str">
        <f>IF(ISERROR(D27/#REF!),"",D27/#REF!)</f>
        <v/>
      </c>
      <c r="G27" s="23" t="str">
        <f>IF(ISERROR(D27/#REF!/F$5),"",D27/#REF!/F$5)</f>
        <v/>
      </c>
      <c r="H27" s="23" t="str">
        <f>IF(ISERROR(C27/F$5),"",C27/F$5)</f>
        <v/>
      </c>
    </row>
    <row r="28" spans="1:8" x14ac:dyDescent="0.2">
      <c r="A28" s="244" t="s">
        <v>17</v>
      </c>
      <c r="B28" s="245"/>
      <c r="C28" s="39">
        <f>IF(ISERROR(O20),"",O20)</f>
        <v>0</v>
      </c>
      <c r="D28" s="39">
        <f>IF(ISERROR(O16),"",O16)</f>
        <v>0</v>
      </c>
      <c r="E28" s="56">
        <f>IF(ISERROR(O18),"",O18)</f>
        <v>0</v>
      </c>
      <c r="F28" s="22" t="str">
        <f>IF(ISERROR(D28/#REF!),"",D28/#REF!)</f>
        <v/>
      </c>
      <c r="G28" s="23" t="str">
        <f>IF(ISERROR(D28/#REF!/F$5),"",D28/#REF!/F$5)</f>
        <v/>
      </c>
      <c r="H28" s="23" t="str">
        <f>IF(ISERROR(C28/F$5),"",C28/F$5)</f>
        <v/>
      </c>
    </row>
    <row r="29" spans="1:8" x14ac:dyDescent="0.2">
      <c r="A29" s="62"/>
      <c r="B29" s="47"/>
      <c r="C29" s="62"/>
      <c r="D29" s="80"/>
      <c r="E29" s="4"/>
      <c r="F29" s="41"/>
      <c r="G29" s="64"/>
      <c r="H29" s="4"/>
    </row>
    <row r="30" spans="1:8" ht="13.5" thickBot="1" x14ac:dyDescent="0.25">
      <c r="A30" s="81"/>
      <c r="B30" s="47"/>
      <c r="C30" s="81"/>
      <c r="D30" s="82"/>
      <c r="E30" s="83"/>
      <c r="F30" s="75"/>
      <c r="G30" s="74"/>
      <c r="H30" s="12"/>
    </row>
    <row r="31" spans="1:8" ht="18.75" thickBot="1" x14ac:dyDescent="0.25">
      <c r="A31" s="251" t="s">
        <v>62</v>
      </c>
      <c r="B31" s="252"/>
      <c r="C31" s="252"/>
      <c r="D31" s="252"/>
      <c r="E31" s="252"/>
      <c r="F31" s="252"/>
      <c r="G31" s="169"/>
    </row>
    <row r="32" spans="1:8" ht="45.75" thickBot="1" x14ac:dyDescent="0.25">
      <c r="A32" s="247" t="s">
        <v>4</v>
      </c>
      <c r="B32" s="248"/>
      <c r="C32" s="84" t="s">
        <v>60</v>
      </c>
      <c r="D32" s="84" t="s">
        <v>58</v>
      </c>
      <c r="E32" s="84" t="s">
        <v>59</v>
      </c>
      <c r="F32" s="249" t="s">
        <v>61</v>
      </c>
      <c r="G32" s="250"/>
    </row>
    <row r="33" spans="1:7" x14ac:dyDescent="0.2">
      <c r="A33" s="4"/>
      <c r="B33" s="4"/>
      <c r="C33" s="4"/>
      <c r="D33" s="4"/>
      <c r="E33" s="4"/>
      <c r="F33" s="41"/>
      <c r="G33" s="64"/>
    </row>
    <row r="34" spans="1:7" x14ac:dyDescent="0.2">
      <c r="A34" s="4" t="s">
        <v>5</v>
      </c>
      <c r="B34" s="85"/>
      <c r="C34" s="86"/>
      <c r="D34" s="246"/>
      <c r="E34" s="246"/>
      <c r="F34" s="246"/>
      <c r="G34" s="64"/>
    </row>
    <row r="35" spans="1:7" x14ac:dyDescent="0.2">
      <c r="A35" s="4" t="s">
        <v>6</v>
      </c>
      <c r="B35" s="87"/>
      <c r="C35" s="4"/>
      <c r="D35" s="33"/>
      <c r="E35" s="34"/>
      <c r="F35" s="88"/>
      <c r="G35" s="64"/>
    </row>
    <row r="37" spans="1:7" x14ac:dyDescent="0.2">
      <c r="A37" t="s">
        <v>27</v>
      </c>
      <c r="B37">
        <v>30.4</v>
      </c>
    </row>
  </sheetData>
  <sheetProtection selectLockedCells="1"/>
  <mergeCells count="18">
    <mergeCell ref="A25:B25"/>
    <mergeCell ref="A26:B26"/>
    <mergeCell ref="D34:F34"/>
    <mergeCell ref="A28:B28"/>
    <mergeCell ref="A32:B32"/>
    <mergeCell ref="F32:G32"/>
    <mergeCell ref="A27:B27"/>
    <mergeCell ref="A31:F31"/>
    <mergeCell ref="A16:D16"/>
    <mergeCell ref="A18:D18"/>
    <mergeCell ref="A20:D20"/>
    <mergeCell ref="A24:B24"/>
    <mergeCell ref="A1:D1"/>
    <mergeCell ref="A5:D5"/>
    <mergeCell ref="A9:D9"/>
    <mergeCell ref="A11:D11"/>
    <mergeCell ref="A13:D13"/>
    <mergeCell ref="A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2</vt:i4>
      </vt:variant>
    </vt:vector>
  </HeadingPairs>
  <TitlesOfParts>
    <vt:vector size="6" baseType="lpstr">
      <vt:lpstr>Головна</vt:lpstr>
      <vt:lpstr>Зустрічна пропозиція</vt:lpstr>
      <vt:lpstr>Лист2</vt:lpstr>
      <vt:lpstr>Назви</vt:lpstr>
      <vt:lpstr>Головна!Область_друку</vt:lpstr>
      <vt:lpstr>'Зустрічна пропозиція'!Область_друку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2020-02-12T09:25:28Z</cp:lastPrinted>
  <dcterms:created xsi:type="dcterms:W3CDTF">2008-03-13T06:51:50Z</dcterms:created>
  <dcterms:modified xsi:type="dcterms:W3CDTF">2026-01-14T09:50:47Z</dcterms:modified>
</cp:coreProperties>
</file>