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351502D5-F3A7-4FBF-A3D3-C36C07129F08}" xr6:coauthVersionLast="47" xr6:coauthVersionMax="47" xr10:uidLastSave="{00000000-0000-0000-0000-000000000000}"/>
  <workbookProtection workbookAlgorithmName="SHA-512" workbookHashValue="VWfBjKGOS3bbXKywP1FCCBxjOXcAztEYchlTejcCRiHW6FIm5QzNAe7iCZNLu8PtrQW6LVY3TC3ajBLvpvGlfg==" workbookSaltValue="oTEfn2EIU6hGzLKQPYEk8g==" workbookSpinCount="100000" lockStructure="1"/>
  <bookViews>
    <workbookView xWindow="-120" yWindow="-120" windowWidth="29040" windowHeight="15990" tabRatio="863" xr2:uid="{00000000-000D-0000-FFFF-FFFF00000000}"/>
  </bookViews>
  <sheets>
    <sheet name="I-Shop_Ябко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'I-Shop_Ябко'!$A$1:$I$103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64" l="1"/>
  <c r="L11" i="164"/>
  <c r="M5" i="165"/>
  <c r="L5" i="165"/>
  <c r="H5" i="165"/>
  <c r="G5" i="165"/>
  <c r="M4" i="165"/>
  <c r="L4" i="165"/>
  <c r="H4" i="165"/>
  <c r="G4" i="165"/>
  <c r="F2" i="164" l="1"/>
  <c r="H3" i="164"/>
  <c r="E2" i="164"/>
  <c r="G2" i="164"/>
  <c r="G3" i="164"/>
  <c r="G39" i="164" l="1"/>
  <c r="B28" i="164" l="1"/>
  <c r="B26" i="164"/>
  <c r="B24" i="164"/>
  <c r="B11" i="164"/>
  <c r="F17" i="164" l="1"/>
  <c r="F21" i="164" l="1"/>
  <c r="F13" i="164"/>
  <c r="F15" i="164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6" i="164" l="1"/>
  <c r="F80" i="164"/>
  <c r="F84" i="164"/>
  <c r="F88" i="164"/>
  <c r="F92" i="164"/>
  <c r="F96" i="164"/>
  <c r="F78" i="164"/>
  <c r="F86" i="164"/>
  <c r="F98" i="164"/>
  <c r="F79" i="164"/>
  <c r="F83" i="164"/>
  <c r="F87" i="164"/>
  <c r="F91" i="164"/>
  <c r="F95" i="164"/>
  <c r="F99" i="164"/>
  <c r="F77" i="164"/>
  <c r="F81" i="164"/>
  <c r="F85" i="164"/>
  <c r="F89" i="164"/>
  <c r="F93" i="164"/>
  <c r="F97" i="164"/>
  <c r="F82" i="164"/>
  <c r="F90" i="164"/>
  <c r="F94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5" i="164" l="1"/>
  <c r="F41" i="164"/>
  <c r="F45" i="164"/>
  <c r="F49" i="164"/>
  <c r="F53" i="164"/>
  <c r="F57" i="164"/>
  <c r="F61" i="164"/>
  <c r="F65" i="164"/>
  <c r="F69" i="164"/>
  <c r="F73" i="164"/>
  <c r="F42" i="164"/>
  <c r="F46" i="164"/>
  <c r="F50" i="164"/>
  <c r="F54" i="164"/>
  <c r="F58" i="164"/>
  <c r="F62" i="164"/>
  <c r="F66" i="164"/>
  <c r="F70" i="164"/>
  <c r="F74" i="164"/>
  <c r="F43" i="164"/>
  <c r="F47" i="164"/>
  <c r="F51" i="164"/>
  <c r="F55" i="164"/>
  <c r="F59" i="164"/>
  <c r="F63" i="164"/>
  <c r="F67" i="164"/>
  <c r="F71" i="164"/>
  <c r="F75" i="164"/>
  <c r="F44" i="164"/>
  <c r="F48" i="164"/>
  <c r="F52" i="164"/>
  <c r="F56" i="164"/>
  <c r="F60" i="164"/>
  <c r="F64" i="164"/>
  <c r="F68" i="164"/>
  <c r="F72" i="164"/>
  <c r="F40" i="164"/>
  <c r="E71" i="164"/>
  <c r="E64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75" i="164"/>
  <c r="G71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<sst xmlns="http://schemas.openxmlformats.org/spreadsheetml/2006/main" count="170" uniqueCount="162">
  <si>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</si>
  <si>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</si>
  <si>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</si>
  <si>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</si>
  <si>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</si>
  <si>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</si>
  <si>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</si>
  <si>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</si>
  <si>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</si>
  <si>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</si>
  <si>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</si>
  <si>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</si>
  <si>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</si>
  <si>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</si>
  <si>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</si>
  <si>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</si>
  <si>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</si>
  <si>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</si>
  <si>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</si>
  <si>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</si>
  <si>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</si>
  <si>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</si>
  <si>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</si>
  <si>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</si>
  <si>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</si>
  <si>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</si>
  <si>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</si>
  <si>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</si>
  <si>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</si>
  <si>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</si>
  <si>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</si>
  <si>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</si>
  <si>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</si>
  <si>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</si>
  <si>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</si>
  <si>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</si>
  <si>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</si>
  <si>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</si>
  <si>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</si>
  <si>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</si>
  <si>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</si>
  <si>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</si>
  <si>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</si>
  <si>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</si>
  <si>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</si>
  <si>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</si>
  <si>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</si>
  <si>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</si>
  <si>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</si>
  <si>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</si>
  <si>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</si>
  <si>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</si>
  <si>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</si>
  <si>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</si>
  <si>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</si>
  <si>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</si>
  <si>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</si>
  <si>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</si>
  <si>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</si>
  <si>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</si>
  <si>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</si>
  <si>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</si>
  <si>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</si>
  <si>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</si>
  <si>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</si>
  <si>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</si>
  <si>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</si>
  <si>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</si>
  <si>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</si>
  <si>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</si>
  <si>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</si>
  <si>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</si>
  <si>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</si>
  <si>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</si>
  <si>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</si>
  <si>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</si>
  <si>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</si>
  <si>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</si>
  <si>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</si>
  <si>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</si>
  <si>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</si>
  <si>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</si>
  <si>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</si>
  <si>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</si>
  <si>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</si>
  <si>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</si>
  <si>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</si>
  <si>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</si>
  <si>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</si>
  <si>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</si>
  <si>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</si>
  <si>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</si>
  <si>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</si>
  <si>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</si>
  <si>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</si>
  <si>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</si>
  <si>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</si>
  <si>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</si>
  <si>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</si>
  <si>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</si>
  <si>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</si>
  <si>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</si>
  <si>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</si>
  <si>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</si>
  <si>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</si>
  <si>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</si>
  <si>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</si>
  <si>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</si>
  <si>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</si>
  <si>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</si>
  <si>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</si>
  <si>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</si>
  <si>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</si>
  <si>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</si>
  <si>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</si>
  <si>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</si>
  <si>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</si>
  <si>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</si>
  <si>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</si>
  <si>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</si>
  <si>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</si>
  <si>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</si>
  <si>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</si>
  <si>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</si>
  <si>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</si>
  <si>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</si>
  <si>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</si>
  <si>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</si>
  <si>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</si>
  <si>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</si>
  <si>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</si>
  <si>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</si>
  <si>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</si>
  <si>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</si>
  <si>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</si>
  <si>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</si>
  <si>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</si>
  <si>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</si>
  <si>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</si>
  <si>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</si>
  <si>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</si>
  <si>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</si>
  <si>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</si>
  <si>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</si>
  <si>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</si>
  <si>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</si>
  <si>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</si>
  <si>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</si>
  <si>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</si>
  <si>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</si>
  <si>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</si>
  <si>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</si>
  <si>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</si>
  <si>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</si>
  <si>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</si>
  <si>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</si>
  <si>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</si>
  <si>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</si>
  <si>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</si>
  <si>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</si>
  <si>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I-Shop_Ябко_0-6-18</t>
  </si>
  <si>
    <t>I-Shop_Ябко_0-9-24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</si>
</sst>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10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</xdr:rowOff>
    </xdr:from>
    <xdr:to>
      <xdr:col>4</xdr:col>
      <xdr:colOff>9526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1" y="9525"/>
          <a:ext cx="2305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4" t="s">
        <v>48</v>
      </c>
      <c r="I1" s="214"/>
    </row>
    <row r="2" spans="1:45" ht="12.75" customHeight="1" x14ac:dyDescent="0.2">
      <c r="A2" s="2"/>
      <c r="B2" s="88"/>
      <c r="C2" s="88"/>
      <c r="D2" s="88"/>
      <c r="E2" s="109">
        <f>VLOOKUP('I-Shop_Ябко'!H2,Лист2!A:P,16,FALSE)</f>
        <v>1000</v>
      </c>
      <c r="F2" s="132">
        <f>VLOOKUP(H$2,Лист2!$A:$H,8,0)</f>
        <v>74999.998399999997</v>
      </c>
      <c r="G2" s="177">
        <f ca="1">TODAY()</f>
        <v>45947</v>
      </c>
      <c r="H2" s="220" t="s">
        <v>161</v>
      </c>
      <c r="I2" s="221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56500</v>
      </c>
      <c r="F3" s="222" t="str">
        <f>IF(E3="x","Збільшіть суму",IF(E3="y","Зменшіть суму",""))</f>
        <v/>
      </c>
      <c r="G3" s="133">
        <f>Назви!B32</f>
        <v>30.4</v>
      </c>
      <c r="H3" s="224">
        <f>VLOOKUP(H$2,Лист2!$A:$H,8,0)</f>
        <v>74999.998399999997</v>
      </c>
      <c r="I3" s="225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3"/>
      <c r="G4" s="112"/>
      <c r="H4" s="162"/>
      <c r="I4" s="120"/>
      <c r="J4" s="35"/>
      <c r="AA4" s="51"/>
    </row>
    <row r="5" spans="1:45" ht="21" thickBot="1" x14ac:dyDescent="0.25">
      <c r="A5" s="1"/>
      <c r="B5" s="226" t="s">
        <v>42</v>
      </c>
      <c r="C5" s="227"/>
      <c r="D5" s="227"/>
      <c r="E5" s="228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7" t="s">
        <v>43</v>
      </c>
      <c r="C7" s="218"/>
      <c r="D7" s="218"/>
      <c r="E7" s="219"/>
      <c r="F7" s="163">
        <f>F5+F5*F11+F15+F5*F17</f>
        <v>56500</v>
      </c>
      <c r="G7" s="164"/>
      <c r="H7" s="165"/>
      <c r="I7" s="42"/>
      <c r="J7" s="4"/>
      <c r="K7" s="37"/>
      <c r="L7" s="51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5"/>
      <c r="B8" s="215"/>
      <c r="C8" s="215"/>
      <c r="D8" s="215"/>
      <c r="E8" s="215"/>
      <c r="F8" s="189"/>
      <c r="G8" s="215"/>
      <c r="H8" s="215"/>
      <c r="I8" s="215"/>
      <c r="J8" s="4"/>
      <c r="K8" s="37"/>
      <c r="L8" s="51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9" t="str">
        <f>Назви!A3</f>
        <v>Процентна ставка, % річних</v>
      </c>
      <c r="C9" s="230">
        <f>Назви!B3</f>
        <v>0</v>
      </c>
      <c r="D9" s="230">
        <f>Назви!C3</f>
        <v>0</v>
      </c>
      <c r="E9" s="230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Лист2!A4</f>
        <v>I-Shop_Ябко_0-6-18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8" t="str">
        <f>Назви!A5</f>
        <v>Разовий страховий тариф, %</v>
      </c>
      <c r="C11" s="197">
        <f>Назви!B5</f>
        <v>0</v>
      </c>
      <c r="D11" s="197">
        <f>Назви!C5</f>
        <v>0</v>
      </c>
      <c r="E11" s="197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Лист2!A5</f>
        <v>I-Shop_Ябко_0-9-24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7" t="s">
        <v>41</v>
      </c>
      <c r="C13" s="187"/>
      <c r="D13" s="187"/>
      <c r="E13" s="188"/>
      <c r="F13" s="140">
        <f>VLOOKUP(H$2,Лист2!$A:$J,9,0)</f>
        <v>9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6"/>
      <c r="B14" s="216"/>
      <c r="C14" s="216"/>
      <c r="D14" s="216"/>
      <c r="E14" s="216"/>
      <c r="F14" s="216"/>
      <c r="G14" s="216"/>
      <c r="H14" s="216"/>
      <c r="I14" s="216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7" t="s">
        <v>39</v>
      </c>
      <c r="C15" s="187"/>
      <c r="D15" s="187"/>
      <c r="E15" s="188"/>
      <c r="F15" s="156">
        <f>VLOOKUP(H$2,Лист2!$A:$J,10,0)</f>
        <v>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7" t="s">
        <v>40</v>
      </c>
      <c r="C17" s="187"/>
      <c r="D17" s="187"/>
      <c r="E17" s="187"/>
      <c r="F17" s="134">
        <f>VLOOKUP(H$2,Лист2!$A:$K,11,0)</f>
        <v>0.13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8" t="str">
        <f>Назви!A7</f>
        <v xml:space="preserve">Щомісячна плата за обслуговування кредитної заборгованості, % </v>
      </c>
      <c r="C19" s="197">
        <f>Назви!B7</f>
        <v>0</v>
      </c>
      <c r="D19" s="197">
        <f>Назви!C7</f>
        <v>0</v>
      </c>
      <c r="E19" s="198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8" t="str">
        <f>Назви!A9</f>
        <v>Термін кредитування (міс.)</v>
      </c>
      <c r="C21" s="197">
        <f>Назви!B9</f>
        <v>0</v>
      </c>
      <c r="D21" s="197">
        <f>Назви!C9</f>
        <v>0</v>
      </c>
      <c r="E21" s="198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56500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2" t="str">
        <f>Назви!A14</f>
        <v>Орієнтовні загальні витрати за кредитом, грн.</v>
      </c>
      <c r="C24" s="193"/>
      <c r="D24" s="193"/>
      <c r="E24" s="193"/>
      <c r="F24" s="160">
        <f>G100-F5</f>
        <v>48801.550000000032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2" t="str">
        <f>Назви!A16</f>
        <v>Орієнтовна загальна вартість кредиту, грн.</v>
      </c>
      <c r="C26" s="193">
        <f>Назви!B14</f>
        <v>0</v>
      </c>
      <c r="D26" s="193">
        <f>Назви!C14</f>
        <v>0</v>
      </c>
      <c r="E26" s="194">
        <f>Назви!D14</f>
        <v>0</v>
      </c>
      <c r="F26" s="144">
        <f>F5+F24</f>
        <v>98801.550000000032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2" t="str">
        <f>Назви!A18</f>
        <v>Реальна річна процентна ставка, %</v>
      </c>
      <c r="C28" s="193">
        <f>Назви!B16</f>
        <v>0</v>
      </c>
      <c r="D28" s="193">
        <f>Назви!C16</f>
        <v>0</v>
      </c>
      <c r="E28" s="194">
        <f>Назви!D16</f>
        <v>0</v>
      </c>
      <c r="F28" s="147">
        <f>XIRR(G39:G87,C39:C87)</f>
        <v>0.84744485616683951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5" t="str">
        <f>Назви!A19</f>
        <v>Інший термін</v>
      </c>
      <c r="C30" s="196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90" t="s">
        <v>32</v>
      </c>
      <c r="C31" s="191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90" t="s">
        <v>33</v>
      </c>
      <c r="C32" s="191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90" t="s">
        <v>9</v>
      </c>
      <c r="C33" s="191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90"/>
      <c r="C34" s="191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00" t="str">
        <f>Назви!A26</f>
        <v xml:space="preserve">ГРАФІК СПЛАТИ КРЕДИТУ </v>
      </c>
      <c r="C37" s="201"/>
      <c r="D37" s="201"/>
      <c r="E37" s="201"/>
      <c r="F37" s="201"/>
      <c r="G37" s="201"/>
      <c r="H37" s="20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3" t="str">
        <f>Назви!A27</f>
        <v>Місяць</v>
      </c>
      <c r="C38" s="20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3" t="str">
        <f>Назви!F27</f>
        <v>Загальна сума внесків до повернення в місяць, грн.</v>
      </c>
      <c r="H38" s="20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customHeight="1" thickBot="1" x14ac:dyDescent="0.25">
      <c r="A39" s="1"/>
      <c r="B39" s="90">
        <v>0</v>
      </c>
      <c r="C39" s="159">
        <v>45708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>DATE(YEAR(C39),MONTH(C39)+1,DAY(C39))</f>
        <v>45736</v>
      </c>
      <c r="D40" s="19">
        <f>IF(B40&lt;=$F$21,$F$7/$F$21,0)</f>
        <v>2354.1666666666665</v>
      </c>
      <c r="E40" s="20">
        <f>IF(AND(B40&gt;F$13,B40&lt;=$F$21),F$7*F$19,0)</f>
        <v>0</v>
      </c>
      <c r="F40" s="182">
        <f>IF(B40&lt;=$F$21,F$7*F$9/12,0)</f>
        <v>0.47083333333333338</v>
      </c>
      <c r="G40" s="199">
        <f t="shared" ref="G40:G71" si="0">IF(B$40&lt;=F$21,D40+E40+F40,0)</f>
        <v>2354.6374999999998</v>
      </c>
      <c r="H40" s="19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si="1">DATE(YEAR(C40),MONTH(C40)+1,DAY(C40))</f>
        <v>45767</v>
      </c>
      <c r="D41" s="19">
        <f t="shared" ref="D41:D87" si="2">IF(B41&lt;=$F$21,$F$7/$F$21,0)</f>
        <v>2354.1666666666665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0.47083333333333338</v>
      </c>
      <c r="G41" s="199">
        <f t="shared" si="0"/>
        <v>2354.6374999999998</v>
      </c>
      <c r="H41" s="19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si="1"/>
        <v>45797</v>
      </c>
      <c r="D42" s="19">
        <f t="shared" si="2"/>
        <v>2354.1666666666665</v>
      </c>
      <c r="E42" s="20">
        <f t="shared" si="3"/>
        <v>0</v>
      </c>
      <c r="F42" s="182">
        <f t="shared" si="4"/>
        <v>0.47083333333333338</v>
      </c>
      <c r="G42" s="199">
        <f t="shared" si="0"/>
        <v>2354.6374999999998</v>
      </c>
      <c r="H42" s="19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si="1"/>
        <v>45828</v>
      </c>
      <c r="D43" s="19">
        <f t="shared" si="2"/>
        <v>2354.1666666666665</v>
      </c>
      <c r="E43" s="20">
        <f t="shared" si="3"/>
        <v>0</v>
      </c>
      <c r="F43" s="182">
        <f t="shared" si="4"/>
        <v>0.47083333333333338</v>
      </c>
      <c r="G43" s="199">
        <f t="shared" si="0"/>
        <v>2354.6374999999998</v>
      </c>
      <c r="H43" s="19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si="1"/>
        <v>45858</v>
      </c>
      <c r="D44" s="19">
        <f t="shared" si="2"/>
        <v>2354.1666666666665</v>
      </c>
      <c r="E44" s="20">
        <f t="shared" si="3"/>
        <v>0</v>
      </c>
      <c r="F44" s="182">
        <f t="shared" si="4"/>
        <v>0.47083333333333338</v>
      </c>
      <c r="G44" s="199">
        <f t="shared" si="0"/>
        <v>2354.6374999999998</v>
      </c>
      <c r="H44" s="19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si="1"/>
        <v>45889</v>
      </c>
      <c r="D45" s="19">
        <f t="shared" si="2"/>
        <v>2354.1666666666665</v>
      </c>
      <c r="E45" s="20">
        <f t="shared" si="3"/>
        <v>0</v>
      </c>
      <c r="F45" s="182">
        <f t="shared" si="4"/>
        <v>0.47083333333333338</v>
      </c>
      <c r="G45" s="199">
        <f t="shared" si="0"/>
        <v>2354.6374999999998</v>
      </c>
      <c r="H45" s="19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si="1"/>
        <v>45920</v>
      </c>
      <c r="D46" s="19">
        <f t="shared" si="2"/>
        <v>2354.1666666666665</v>
      </c>
      <c r="E46" s="20">
        <f t="shared" si="3"/>
        <v>0</v>
      </c>
      <c r="F46" s="182">
        <f t="shared" si="4"/>
        <v>0.47083333333333338</v>
      </c>
      <c r="G46" s="199">
        <f t="shared" si="0"/>
        <v>2354.6374999999998</v>
      </c>
      <c r="H46" s="19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si="1"/>
        <v>45950</v>
      </c>
      <c r="D47" s="19">
        <f t="shared" si="2"/>
        <v>2354.1666666666665</v>
      </c>
      <c r="E47" s="20">
        <f t="shared" si="3"/>
        <v>0</v>
      </c>
      <c r="F47" s="182">
        <f t="shared" si="4"/>
        <v>0.47083333333333338</v>
      </c>
      <c r="G47" s="199">
        <f t="shared" si="0"/>
        <v>2354.6374999999998</v>
      </c>
      <c r="H47" s="19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si="1"/>
        <v>45981</v>
      </c>
      <c r="D48" s="19">
        <f t="shared" si="2"/>
        <v>2354.1666666666665</v>
      </c>
      <c r="E48" s="20">
        <f t="shared" si="3"/>
        <v>0</v>
      </c>
      <c r="F48" s="182">
        <f t="shared" si="4"/>
        <v>0.47083333333333338</v>
      </c>
      <c r="G48" s="199">
        <f t="shared" si="0"/>
        <v>2354.6374999999998</v>
      </c>
      <c r="H48" s="19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si="1"/>
        <v>46011</v>
      </c>
      <c r="D49" s="19">
        <f t="shared" si="2"/>
        <v>2354.1666666666665</v>
      </c>
      <c r="E49" s="20">
        <f t="shared" si="3"/>
        <v>2819.35</v>
      </c>
      <c r="F49" s="182">
        <f t="shared" si="4"/>
        <v>0.47083333333333338</v>
      </c>
      <c r="G49" s="199">
        <f t="shared" si="0"/>
        <v>5173.9875000000002</v>
      </c>
      <c r="H49" s="19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si="1"/>
        <v>46042</v>
      </c>
      <c r="D50" s="19">
        <f t="shared" si="2"/>
        <v>2354.1666666666665</v>
      </c>
      <c r="E50" s="20">
        <f t="shared" si="3"/>
        <v>2819.35</v>
      </c>
      <c r="F50" s="182">
        <f t="shared" si="4"/>
        <v>0.47083333333333338</v>
      </c>
      <c r="G50" s="199">
        <f t="shared" si="0"/>
        <v>5173.9875000000002</v>
      </c>
      <c r="H50" s="19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si="1"/>
        <v>46073</v>
      </c>
      <c r="D51" s="19">
        <f t="shared" si="2"/>
        <v>2354.1666666666665</v>
      </c>
      <c r="E51" s="20">
        <f t="shared" si="3"/>
        <v>2819.35</v>
      </c>
      <c r="F51" s="182">
        <f t="shared" si="4"/>
        <v>0.47083333333333338</v>
      </c>
      <c r="G51" s="199">
        <f t="shared" si="0"/>
        <v>5173.9875000000002</v>
      </c>
      <c r="H51" s="19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si="1"/>
        <v>46101</v>
      </c>
      <c r="D52" s="19">
        <f t="shared" si="2"/>
        <v>2354.1666666666665</v>
      </c>
      <c r="E52" s="20">
        <f t="shared" si="3"/>
        <v>2819.35</v>
      </c>
      <c r="F52" s="182">
        <f t="shared" si="4"/>
        <v>0.47083333333333338</v>
      </c>
      <c r="G52" s="199">
        <f t="shared" si="0"/>
        <v>5173.9875000000002</v>
      </c>
      <c r="H52" s="19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si="1"/>
        <v>46132</v>
      </c>
      <c r="D53" s="19">
        <f t="shared" si="2"/>
        <v>2354.1666666666665</v>
      </c>
      <c r="E53" s="20">
        <f t="shared" si="3"/>
        <v>2819.35</v>
      </c>
      <c r="F53" s="182">
        <f t="shared" si="4"/>
        <v>0.47083333333333338</v>
      </c>
      <c r="G53" s="199">
        <f t="shared" si="0"/>
        <v>5173.9875000000002</v>
      </c>
      <c r="H53" s="19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si="1"/>
        <v>46162</v>
      </c>
      <c r="D54" s="19">
        <f t="shared" si="2"/>
        <v>2354.1666666666665</v>
      </c>
      <c r="E54" s="20">
        <f t="shared" si="3"/>
        <v>2819.35</v>
      </c>
      <c r="F54" s="182">
        <f t="shared" si="4"/>
        <v>0.47083333333333338</v>
      </c>
      <c r="G54" s="199">
        <f t="shared" si="0"/>
        <v>5173.9875000000002</v>
      </c>
      <c r="H54" s="19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si="1"/>
        <v>46193</v>
      </c>
      <c r="D55" s="19">
        <f t="shared" si="2"/>
        <v>2354.1666666666665</v>
      </c>
      <c r="E55" s="20">
        <f t="shared" si="3"/>
        <v>2819.35</v>
      </c>
      <c r="F55" s="182">
        <f t="shared" si="4"/>
        <v>0.47083333333333338</v>
      </c>
      <c r="G55" s="199">
        <f t="shared" si="0"/>
        <v>5173.9875000000002</v>
      </c>
      <c r="H55" s="19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si="1"/>
        <v>46223</v>
      </c>
      <c r="D56" s="19">
        <f t="shared" si="2"/>
        <v>2354.1666666666665</v>
      </c>
      <c r="E56" s="20">
        <f t="shared" si="3"/>
        <v>2819.35</v>
      </c>
      <c r="F56" s="182">
        <f t="shared" si="4"/>
        <v>0.47083333333333338</v>
      </c>
      <c r="G56" s="199">
        <f t="shared" si="0"/>
        <v>5173.9875000000002</v>
      </c>
      <c r="H56" s="19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si="1"/>
        <v>46254</v>
      </c>
      <c r="D57" s="19">
        <f t="shared" si="2"/>
        <v>2354.1666666666665</v>
      </c>
      <c r="E57" s="20">
        <f t="shared" si="3"/>
        <v>2819.35</v>
      </c>
      <c r="F57" s="182">
        <f t="shared" si="4"/>
        <v>0.47083333333333338</v>
      </c>
      <c r="G57" s="199">
        <f t="shared" si="0"/>
        <v>5173.9875000000002</v>
      </c>
      <c r="H57" s="19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si="1"/>
        <v>46285</v>
      </c>
      <c r="D58" s="19">
        <f t="shared" si="2"/>
        <v>2354.1666666666665</v>
      </c>
      <c r="E58" s="20">
        <f t="shared" si="3"/>
        <v>2819.35</v>
      </c>
      <c r="F58" s="182">
        <f t="shared" si="4"/>
        <v>0.47083333333333338</v>
      </c>
      <c r="G58" s="199">
        <f t="shared" si="0"/>
        <v>5173.9875000000002</v>
      </c>
      <c r="H58" s="19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si="1"/>
        <v>46315</v>
      </c>
      <c r="D59" s="19">
        <f t="shared" si="2"/>
        <v>2354.1666666666665</v>
      </c>
      <c r="E59" s="20">
        <f t="shared" si="3"/>
        <v>2819.35</v>
      </c>
      <c r="F59" s="182">
        <f t="shared" si="4"/>
        <v>0.47083333333333338</v>
      </c>
      <c r="G59" s="199">
        <f t="shared" si="0"/>
        <v>5173.9875000000002</v>
      </c>
      <c r="H59" s="19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si="1"/>
        <v>46346</v>
      </c>
      <c r="D60" s="19">
        <f t="shared" si="2"/>
        <v>2354.1666666666665</v>
      </c>
      <c r="E60" s="20">
        <f t="shared" si="3"/>
        <v>2819.35</v>
      </c>
      <c r="F60" s="182">
        <f t="shared" si="4"/>
        <v>0.47083333333333338</v>
      </c>
      <c r="G60" s="199">
        <f t="shared" si="0"/>
        <v>5173.9875000000002</v>
      </c>
      <c r="H60" s="19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si="1"/>
        <v>46376</v>
      </c>
      <c r="D61" s="19">
        <f t="shared" si="2"/>
        <v>2354.1666666666665</v>
      </c>
      <c r="E61" s="20">
        <f t="shared" si="3"/>
        <v>2819.35</v>
      </c>
      <c r="F61" s="182">
        <f t="shared" si="4"/>
        <v>0.47083333333333338</v>
      </c>
      <c r="G61" s="199">
        <f t="shared" si="0"/>
        <v>5173.9875000000002</v>
      </c>
      <c r="H61" s="19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si="1"/>
        <v>46407</v>
      </c>
      <c r="D62" s="19">
        <f t="shared" si="2"/>
        <v>2354.1666666666665</v>
      </c>
      <c r="E62" s="20">
        <f t="shared" si="3"/>
        <v>2819.35</v>
      </c>
      <c r="F62" s="182">
        <f t="shared" si="4"/>
        <v>0.47083333333333338</v>
      </c>
      <c r="G62" s="199">
        <f t="shared" si="0"/>
        <v>5173.9875000000002</v>
      </c>
      <c r="H62" s="19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si="1"/>
        <v>46438</v>
      </c>
      <c r="D63" s="19">
        <f t="shared" si="2"/>
        <v>2354.1666666666665</v>
      </c>
      <c r="E63" s="20">
        <f t="shared" si="3"/>
        <v>2819.35</v>
      </c>
      <c r="F63" s="182">
        <f t="shared" si="4"/>
        <v>0.47083333333333338</v>
      </c>
      <c r="G63" s="199">
        <f t="shared" si="0"/>
        <v>5173.9875000000002</v>
      </c>
      <c r="H63" s="19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si="1"/>
        <v>46466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199">
        <f t="shared" si="0"/>
        <v>0</v>
      </c>
      <c r="H64" s="19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si="1"/>
        <v>46497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199">
        <f t="shared" si="0"/>
        <v>0</v>
      </c>
      <c r="H65" s="19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si="1"/>
        <v>46527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199">
        <f t="shared" si="0"/>
        <v>0</v>
      </c>
      <c r="H66" s="19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si="1"/>
        <v>46558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199">
        <f t="shared" si="0"/>
        <v>0</v>
      </c>
      <c r="H67" s="19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si="1"/>
        <v>46588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199">
        <f t="shared" si="0"/>
        <v>0</v>
      </c>
      <c r="H68" s="19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si="1"/>
        <v>46619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199">
        <f t="shared" si="0"/>
        <v>0</v>
      </c>
      <c r="H69" s="19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si="1"/>
        <v>46650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199">
        <f t="shared" si="0"/>
        <v>0</v>
      </c>
      <c r="H70" s="19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si="1"/>
        <v>46680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199">
        <f t="shared" si="0"/>
        <v>0</v>
      </c>
      <c r="H71" s="19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si="1"/>
        <v>46711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199">
        <f t="shared" ref="G72:G99" si="5">IF(B$40&lt;=F$21,D72+E72+F72,0)</f>
        <v>0</v>
      </c>
      <c r="H72" s="19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si="1"/>
        <v>46741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199">
        <f t="shared" si="5"/>
        <v>0</v>
      </c>
      <c r="H73" s="19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si="1"/>
        <v>46772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199">
        <f t="shared" si="5"/>
        <v>0</v>
      </c>
      <c r="H74" s="19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si="1"/>
        <v>46803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199">
        <f t="shared" si="5"/>
        <v>0</v>
      </c>
      <c r="H75" s="19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si="1"/>
        <v>46832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9">
        <f t="shared" si="5"/>
        <v>0</v>
      </c>
      <c r="H76" s="19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si="1"/>
        <v>46863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9">
        <f t="shared" si="5"/>
        <v>0</v>
      </c>
      <c r="H77" s="19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si="1"/>
        <v>46893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9">
        <f t="shared" si="5"/>
        <v>0</v>
      </c>
      <c r="H78" s="19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si="1"/>
        <v>46924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9">
        <f t="shared" si="5"/>
        <v>0</v>
      </c>
      <c r="H79" s="19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si="1"/>
        <v>46954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9">
        <f t="shared" si="5"/>
        <v>0</v>
      </c>
      <c r="H80" s="19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si="1"/>
        <v>46985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9">
        <f t="shared" si="5"/>
        <v>0</v>
      </c>
      <c r="H81" s="19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si="1"/>
        <v>47016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9">
        <f t="shared" si="5"/>
        <v>0</v>
      </c>
      <c r="H82" s="19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si="1"/>
        <v>47046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9">
        <f t="shared" si="5"/>
        <v>0</v>
      </c>
      <c r="H83" s="19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si="1"/>
        <v>47077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9">
        <f t="shared" si="5"/>
        <v>0</v>
      </c>
      <c r="H84" s="19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si="1"/>
        <v>47107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9">
        <f t="shared" si="5"/>
        <v>0</v>
      </c>
      <c r="H85" s="19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si="1"/>
        <v>47138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9">
        <f t="shared" si="5"/>
        <v>0</v>
      </c>
      <c r="H86" s="19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si="1"/>
        <v>47169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9">
        <f t="shared" si="5"/>
        <v>0</v>
      </c>
      <c r="H87" s="19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si="1"/>
        <v>47197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7">
        <f t="shared" si="5"/>
        <v>0</v>
      </c>
      <c r="H88" s="208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si="1"/>
        <v>47228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si="1"/>
        <v>47258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si="1"/>
        <v>47289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si="1"/>
        <v>47319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si="1"/>
        <v>47350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si="1"/>
        <v>47381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si="1"/>
        <v>47411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si="1"/>
        <v>47442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si="1"/>
        <v>47472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si="1"/>
        <v>47503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si="1"/>
        <v>47534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05" t="s">
        <v>1</v>
      </c>
      <c r="C100" s="206"/>
      <c r="D100" s="93">
        <f>SUM(D40:D99)</f>
        <v>56499.999999999978</v>
      </c>
      <c r="E100" s="93">
        <f>SUM(E40:E99)</f>
        <v>42290.249999999985</v>
      </c>
      <c r="F100" s="99">
        <f>SUM(F40:F99)</f>
        <v>11.299999999999999</v>
      </c>
      <c r="G100" s="212">
        <f>SUM(G40:H99)</f>
        <v>98801.550000000032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1" t="s">
        <v>6</v>
      </c>
      <c r="F102" s="211"/>
      <c r="G102" s="211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2vq++LHguxvHKEbZXUCp9x6AwAQcPUIvx+P4U4jGS97QrwJ0Pc3OmFFBWTp1BKImLwwdWqBjbV+WNug+MQoM7g==" saltValue="EwhE/Cf6C4Mlqb1c3CRnfw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$L$10:$L$11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7" t="s">
        <v>16</v>
      </c>
      <c r="B1" s="248"/>
      <c r="C1" s="248"/>
      <c r="D1" s="24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2" t="s">
        <v>44</v>
      </c>
      <c r="B3" s="243">
        <v>0</v>
      </c>
      <c r="C3" s="243">
        <v>0</v>
      </c>
      <c r="D3" s="24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2" t="s">
        <v>45</v>
      </c>
      <c r="B5" s="243">
        <v>0</v>
      </c>
      <c r="C5" s="243">
        <v>0</v>
      </c>
      <c r="D5" s="24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2" t="s">
        <v>46</v>
      </c>
      <c r="B7" s="243">
        <v>0</v>
      </c>
      <c r="C7" s="243">
        <v>0</v>
      </c>
      <c r="D7" s="24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2" t="s">
        <v>158</v>
      </c>
      <c r="B9" s="243"/>
      <c r="C9" s="243"/>
      <c r="D9" s="24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2" t="s">
        <v>157</v>
      </c>
      <c r="B12" s="243">
        <v>0</v>
      </c>
      <c r="C12" s="243">
        <v>0</v>
      </c>
      <c r="D12" s="24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2" t="s">
        <v>47</v>
      </c>
      <c r="B14" s="243">
        <v>0</v>
      </c>
      <c r="C14" s="243">
        <v>0</v>
      </c>
      <c r="D14" s="24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2" t="s">
        <v>156</v>
      </c>
      <c r="B16" s="243">
        <v>0</v>
      </c>
      <c r="C16" s="243">
        <v>0</v>
      </c>
      <c r="D16" s="24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5" t="s">
        <v>8</v>
      </c>
      <c r="B19" s="24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50" t="s">
        <v>20</v>
      </c>
      <c r="B20" s="251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50" t="s">
        <v>9</v>
      </c>
      <c r="B21" s="251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50" t="s">
        <v>18</v>
      </c>
      <c r="B22" s="251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50" t="s">
        <v>19</v>
      </c>
      <c r="B23" s="251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3" t="s">
        <v>30</v>
      </c>
      <c r="B26" s="254"/>
      <c r="C26" s="254"/>
      <c r="D26" s="254"/>
      <c r="E26" s="254"/>
      <c r="F26" s="254"/>
      <c r="G26" s="255"/>
    </row>
    <row r="27" spans="1:8" ht="45.75" thickBot="1" x14ac:dyDescent="0.25">
      <c r="A27" s="256" t="s">
        <v>2</v>
      </c>
      <c r="B27" s="257"/>
      <c r="C27" s="83" t="s">
        <v>4</v>
      </c>
      <c r="D27" s="83" t="s">
        <v>17</v>
      </c>
      <c r="E27" s="83" t="s">
        <v>5</v>
      </c>
      <c r="F27" s="258" t="s">
        <v>3</v>
      </c>
      <c r="G27" s="259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2"/>
      <c r="E29" s="252"/>
      <c r="F29" s="252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zoomScale="85" zoomScaleNormal="85" workbookViewId="0">
      <selection activeCell="B5" sqref="B5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85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85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85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73891.63</v>
      </c>
      <c r="C4" s="151">
        <v>18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73891,63 грн.</v>
      </c>
      <c r="H4" s="184">
        <f>B4+B4*K4</f>
        <v>75000.004450000008</v>
      </c>
      <c r="I4" s="151">
        <v>6</v>
      </c>
      <c r="K4" s="186">
        <v>1.4999999999999999E-2</v>
      </c>
      <c r="L4" s="153">
        <f>D4/12/(1-1/POWER(1+D4/12,C4))*H4+H4*F4</f>
        <v>7909.4970048413006</v>
      </c>
      <c r="M4" s="154">
        <f>F4</f>
        <v>4.99E-2</v>
      </c>
      <c r="N4" s="154"/>
      <c r="O4" s="155">
        <v>0</v>
      </c>
      <c r="P4" s="151">
        <v>1000</v>
      </c>
    </row>
    <row r="5" spans="1:16" x14ac:dyDescent="0.2">
      <c r="A5" s="151" t="s">
        <v>161</v>
      </c>
      <c r="B5" s="121">
        <v>66371.679999999993</v>
      </c>
      <c r="C5" s="151">
        <v>24</v>
      </c>
      <c r="D5" s="152">
        <v>1E-4</v>
      </c>
      <c r="E5" s="152">
        <v>0</v>
      </c>
      <c r="F5" s="152">
        <v>4.99E-2</v>
      </c>
      <c r="G5" s="151" t="str">
        <f>I$2&amp;" "&amp;B5&amp;" "&amp;H$2</f>
        <v>max. 66371,68 грн.</v>
      </c>
      <c r="H5" s="184">
        <f>B5+B5*K5</f>
        <v>74999.998399999997</v>
      </c>
      <c r="I5" s="151">
        <v>9</v>
      </c>
      <c r="J5" s="151"/>
      <c r="K5" s="186">
        <v>0.13</v>
      </c>
      <c r="L5" s="153">
        <f>D5/12/(1-1/POWER(1+D5/12,C5))*H5+H5*F5</f>
        <v>6867.8253847017095</v>
      </c>
      <c r="M5" s="154">
        <f>F5</f>
        <v>4.99E-2</v>
      </c>
      <c r="N5" s="154"/>
      <c r="O5" s="155">
        <v>0</v>
      </c>
      <c r="P5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I-Shop_Ябко</vt:lpstr>
      <vt:lpstr>Перелік партнерів</vt:lpstr>
      <vt:lpstr>Назви</vt:lpstr>
      <vt:lpstr>Лист2</vt:lpstr>
      <vt:lpstr>'I-Shop_Ябко'!Область_друку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2025-10-17T12:25:36Z</dcterms:modified>
</cp:coreProperties>
</file>