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КЕШ\Зустрічна пропозиція з 05.06.2025\"/>
    </mc:Choice>
  </mc:AlternateContent>
  <xr:revisionPtr revIDLastSave="0" documentId="13_ncr:1_{C5C59C73-64AD-4D71-A7A5-B92E2AD97AC5}" xr6:coauthVersionLast="47" xr6:coauthVersionMax="47" xr10:uidLastSave="{00000000-0000-0000-0000-000000000000}"/>
  <workbookProtection workbookAlgorithmName="SHA-512" workbookHashValue="7PG3gXMaTkzA4ktPyhxc/QC+Jj3ZsBAOhroLGGJg+EfOzxyLp04CWDMu/+YB/R6euGRZ33D8ZAr5XCxCu8FzRg==" workbookSaltValue="DypiWr4iFFl+/OOQ3AsZsQ==" workbookSpinCount="100000" lockStructure="1"/>
  <bookViews>
    <workbookView xWindow="-120" yWindow="-120" windowWidth="29040" windowHeight="15990" tabRatio="863" xr2:uid="{00000000-000D-0000-FFFF-FFFF00000000}"/>
  </bookViews>
  <sheets>
    <sheet name="Зустрічна пропозиція" sheetId="187" r:id="rId1"/>
    <sheet name="Лист2" sheetId="165" state="hidden" r:id="rId2"/>
    <sheet name="Назви" sheetId="161" state="hidden" r:id="rId3"/>
  </sheets>
  <definedNames>
    <definedName name="_xlnm._FilterDatabase" localSheetId="0" hidden="1">'Зустрічна пропозиція'!$A$33:$G$95</definedName>
    <definedName name="_xlnm.Print_Area" localSheetId="0">'Зустрічна пропозиція'!$A$1:$J$98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87" l="1"/>
  <c r="B11" i="187" l="1"/>
  <c r="B13" i="187"/>
  <c r="F9" i="187"/>
  <c r="K22" i="187" l="1"/>
  <c r="K23" i="187"/>
  <c r="H3" i="187" l="1"/>
  <c r="F19" i="187"/>
  <c r="F17" i="187"/>
  <c r="F15" i="187"/>
  <c r="B15" i="187"/>
  <c r="E15" i="187"/>
  <c r="D15" i="187"/>
  <c r="C15" i="187"/>
  <c r="J50" i="187" l="1"/>
  <c r="J49" i="187"/>
  <c r="J48" i="187"/>
  <c r="J47" i="187"/>
  <c r="J46" i="187"/>
  <c r="J45" i="187"/>
  <c r="J44" i="187"/>
  <c r="J43" i="187"/>
  <c r="J42" i="187"/>
  <c r="J41" i="187"/>
  <c r="J40" i="187"/>
  <c r="J39" i="187"/>
  <c r="J38" i="187"/>
  <c r="J37" i="187"/>
  <c r="J36" i="187"/>
  <c r="J35" i="187"/>
  <c r="J34" i="187"/>
  <c r="J33" i="187"/>
  <c r="F33" i="187"/>
  <c r="E33" i="187"/>
  <c r="D33" i="187"/>
  <c r="C33" i="187"/>
  <c r="B32" i="187"/>
  <c r="B30" i="187"/>
  <c r="E28" i="187"/>
  <c r="D28" i="187"/>
  <c r="C28" i="187"/>
  <c r="B28" i="187"/>
  <c r="E26" i="187"/>
  <c r="D26" i="187"/>
  <c r="C26" i="187"/>
  <c r="B26" i="187"/>
  <c r="K24" i="187"/>
  <c r="E24" i="187"/>
  <c r="D24" i="187"/>
  <c r="C24" i="187"/>
  <c r="B24" i="187"/>
  <c r="F21" i="187"/>
  <c r="E21" i="187"/>
  <c r="D21" i="187"/>
  <c r="C21" i="187"/>
  <c r="B21" i="187"/>
  <c r="E19" i="187"/>
  <c r="D19" i="187"/>
  <c r="C19" i="187"/>
  <c r="B19" i="187"/>
  <c r="E17" i="187"/>
  <c r="D17" i="187"/>
  <c r="C17" i="187"/>
  <c r="B17" i="187"/>
  <c r="F13" i="187"/>
  <c r="F11" i="187" s="1"/>
  <c r="E13" i="187"/>
  <c r="D13" i="187"/>
  <c r="C13" i="187"/>
  <c r="G3" i="187"/>
  <c r="G2" i="187"/>
  <c r="F2" i="187"/>
  <c r="E2" i="187"/>
  <c r="F24" i="187" l="1"/>
  <c r="D91" i="187"/>
  <c r="D87" i="187"/>
  <c r="D83" i="187"/>
  <c r="D79" i="187"/>
  <c r="D75" i="187"/>
  <c r="D71" i="187"/>
  <c r="D67" i="187"/>
  <c r="D63" i="187"/>
  <c r="D59" i="187"/>
  <c r="D55" i="187"/>
  <c r="D51" i="187"/>
  <c r="D47" i="187"/>
  <c r="D43" i="187"/>
  <c r="D39" i="187"/>
  <c r="D35" i="187"/>
  <c r="D94" i="187"/>
  <c r="D90" i="187"/>
  <c r="D86" i="187"/>
  <c r="D82" i="187"/>
  <c r="D78" i="187"/>
  <c r="D74" i="187"/>
  <c r="D70" i="187"/>
  <c r="D66" i="187"/>
  <c r="D62" i="187"/>
  <c r="D58" i="187"/>
  <c r="D54" i="187"/>
  <c r="D50" i="187"/>
  <c r="D46" i="187"/>
  <c r="D42" i="187"/>
  <c r="D38" i="187"/>
  <c r="D93" i="187"/>
  <c r="D89" i="187"/>
  <c r="D85" i="187"/>
  <c r="D81" i="187"/>
  <c r="D77" i="187"/>
  <c r="D73" i="187"/>
  <c r="D69" i="187"/>
  <c r="D65" i="187"/>
  <c r="D61" i="187"/>
  <c r="D57" i="187"/>
  <c r="D53" i="187"/>
  <c r="D49" i="187"/>
  <c r="D45" i="187"/>
  <c r="D41" i="187"/>
  <c r="D37" i="187"/>
  <c r="D92" i="187"/>
  <c r="D88" i="187"/>
  <c r="D84" i="187"/>
  <c r="D80" i="187"/>
  <c r="D76" i="187"/>
  <c r="D72" i="187"/>
  <c r="D68" i="187"/>
  <c r="D64" i="187"/>
  <c r="D60" i="187"/>
  <c r="D56" i="187"/>
  <c r="D52" i="187"/>
  <c r="D48" i="187"/>
  <c r="D44" i="187"/>
  <c r="D40" i="187"/>
  <c r="D36" i="187"/>
  <c r="E3" i="187"/>
  <c r="F34" i="187" s="1"/>
  <c r="E22" i="187"/>
  <c r="C35" i="187"/>
  <c r="C36" i="187" s="1"/>
  <c r="C37" i="187" s="1"/>
  <c r="C38" i="187" s="1"/>
  <c r="C39" i="187" s="1"/>
  <c r="C40" i="187" s="1"/>
  <c r="C41" i="187" s="1"/>
  <c r="C42" i="187" s="1"/>
  <c r="C43" i="187" s="1"/>
  <c r="C44" i="187" s="1"/>
  <c r="C45" i="187" s="1"/>
  <c r="C46" i="187" s="1"/>
  <c r="C47" i="187" s="1"/>
  <c r="C48" i="187" s="1"/>
  <c r="C49" i="187" s="1"/>
  <c r="C50" i="187" s="1"/>
  <c r="C51" i="187" s="1"/>
  <c r="C52" i="187" s="1"/>
  <c r="C53" i="187" s="1"/>
  <c r="C54" i="187" s="1"/>
  <c r="C55" i="187" s="1"/>
  <c r="C56" i="187" s="1"/>
  <c r="C57" i="187" s="1"/>
  <c r="C58" i="187" s="1"/>
  <c r="C59" i="187" s="1"/>
  <c r="C60" i="187" s="1"/>
  <c r="C61" i="187" s="1"/>
  <c r="C62" i="187" s="1"/>
  <c r="C63" i="187" s="1"/>
  <c r="C64" i="187" s="1"/>
  <c r="C65" i="187" s="1"/>
  <c r="C66" i="187" s="1"/>
  <c r="C67" i="187" s="1"/>
  <c r="C68" i="187" s="1"/>
  <c r="C69" i="187" s="1"/>
  <c r="C70" i="187" s="1"/>
  <c r="C71" i="187" s="1"/>
  <c r="C72" i="187" s="1"/>
  <c r="C73" i="187" s="1"/>
  <c r="C74" i="187" s="1"/>
  <c r="C75" i="187" s="1"/>
  <c r="C76" i="187" s="1"/>
  <c r="C77" i="187" s="1"/>
  <c r="C78" i="187" s="1"/>
  <c r="C79" i="187" s="1"/>
  <c r="C80" i="187" s="1"/>
  <c r="C81" i="187" s="1"/>
  <c r="C82" i="187" s="1"/>
  <c r="C83" i="187" s="1"/>
  <c r="C84" i="187" s="1"/>
  <c r="C85" i="187" s="1"/>
  <c r="C86" i="187" s="1"/>
  <c r="C87" i="187" s="1"/>
  <c r="C88" i="187" s="1"/>
  <c r="C89" i="187" s="1"/>
  <c r="C90" i="187" s="1"/>
  <c r="C91" i="187" s="1"/>
  <c r="C92" i="187" s="1"/>
  <c r="C93" i="187" s="1"/>
  <c r="C94" i="187" s="1"/>
  <c r="E23" i="187" l="1"/>
  <c r="F3" i="187"/>
  <c r="F12" i="187" l="1"/>
  <c r="C25" i="161" l="1"/>
  <c r="H25" i="161" s="1"/>
  <c r="D25" i="161"/>
  <c r="F25" i="161" s="1"/>
  <c r="E25" i="161"/>
  <c r="C26" i="161"/>
  <c r="H26" i="161" s="1"/>
  <c r="D26" i="161"/>
  <c r="F26" i="161" s="1"/>
  <c r="E26" i="161"/>
  <c r="C27" i="161"/>
  <c r="H27" i="161" s="1"/>
  <c r="D27" i="161"/>
  <c r="F27" i="161" s="1"/>
  <c r="E27" i="161"/>
  <c r="C28" i="161"/>
  <c r="H28" i="161" s="1"/>
  <c r="D28" i="161"/>
  <c r="G28" i="161" s="1"/>
  <c r="E28" i="161"/>
  <c r="F28" i="161" l="1"/>
  <c r="G27" i="161"/>
  <c r="G26" i="161"/>
  <c r="G25" i="161"/>
  <c r="D95" i="187" l="1"/>
  <c r="E69" i="187"/>
  <c r="F69" i="187" s="1"/>
  <c r="E61" i="187"/>
  <c r="F61" i="187" s="1"/>
  <c r="E40" i="187"/>
  <c r="F40" i="187" s="1"/>
  <c r="E60" i="187"/>
  <c r="F60" i="187" s="1"/>
  <c r="E68" i="187"/>
  <c r="F68" i="187" s="1"/>
  <c r="E42" i="187"/>
  <c r="F42" i="187" s="1"/>
  <c r="E52" i="187"/>
  <c r="F52" i="187" s="1"/>
  <c r="E67" i="187"/>
  <c r="F67" i="187" s="1"/>
  <c r="E47" i="187"/>
  <c r="F47" i="187" s="1"/>
  <c r="E38" i="187"/>
  <c r="F38" i="187" s="1"/>
  <c r="E55" i="187"/>
  <c r="F55" i="187" s="1"/>
  <c r="E44" i="187"/>
  <c r="F44" i="187" s="1"/>
  <c r="E64" i="187"/>
  <c r="F64" i="187" s="1"/>
  <c r="E70" i="187"/>
  <c r="F70" i="187" s="1"/>
  <c r="E39" i="187"/>
  <c r="F39" i="187" s="1"/>
  <c r="E46" i="187"/>
  <c r="F46" i="187" s="1"/>
  <c r="E54" i="187"/>
  <c r="F54" i="187" s="1"/>
  <c r="E43" i="187"/>
  <c r="F43" i="187" s="1"/>
  <c r="E58" i="187"/>
  <c r="F58" i="187" s="1"/>
  <c r="E48" i="187"/>
  <c r="F48" i="187" s="1"/>
  <c r="E49" i="187"/>
  <c r="F49" i="187" s="1"/>
  <c r="E62" i="187"/>
  <c r="F62" i="187" s="1"/>
  <c r="E51" i="187"/>
  <c r="F51" i="187" s="1"/>
  <c r="E56" i="187"/>
  <c r="F56" i="187" s="1"/>
  <c r="E57" i="187"/>
  <c r="F57" i="187" s="1"/>
  <c r="E66" i="187"/>
  <c r="F66" i="187" s="1"/>
  <c r="E65" i="187"/>
  <c r="F65" i="187" s="1"/>
  <c r="E63" i="187"/>
  <c r="F63" i="187" s="1"/>
  <c r="E50" i="187"/>
  <c r="F50" i="187" s="1"/>
  <c r="E41" i="187"/>
  <c r="F41" i="187" s="1"/>
  <c r="E53" i="187"/>
  <c r="F53" i="187" s="1"/>
  <c r="E45" i="187"/>
  <c r="F45" i="187" s="1"/>
  <c r="E59" i="187"/>
  <c r="F59" i="187" s="1"/>
  <c r="E36" i="187"/>
  <c r="F36" i="187" s="1"/>
  <c r="E35" i="187"/>
  <c r="F35" i="187" s="1"/>
  <c r="E94" i="187"/>
  <c r="F94" i="187" s="1"/>
  <c r="E71" i="187"/>
  <c r="F71" i="187" s="1"/>
  <c r="E87" i="187"/>
  <c r="F87" i="187" s="1"/>
  <c r="E80" i="187"/>
  <c r="F80" i="187" s="1"/>
  <c r="E37" i="187"/>
  <c r="F37" i="187" s="1"/>
  <c r="E85" i="187"/>
  <c r="F85" i="187" s="1"/>
  <c r="E78" i="187"/>
  <c r="F78" i="187" s="1"/>
  <c r="E75" i="187"/>
  <c r="F75" i="187" s="1"/>
  <c r="E84" i="187"/>
  <c r="F84" i="187" s="1"/>
  <c r="E73" i="187"/>
  <c r="F73" i="187" s="1"/>
  <c r="E89" i="187"/>
  <c r="F89" i="187" s="1"/>
  <c r="E82" i="187"/>
  <c r="F82" i="187" s="1"/>
  <c r="E91" i="187"/>
  <c r="F91" i="187" s="1"/>
  <c r="E79" i="187"/>
  <c r="F79" i="187" s="1"/>
  <c r="E72" i="187"/>
  <c r="F72" i="187" s="1"/>
  <c r="E88" i="187"/>
  <c r="F88" i="187" s="1"/>
  <c r="E77" i="187"/>
  <c r="F77" i="187" s="1"/>
  <c r="E93" i="187"/>
  <c r="F93" i="187" s="1"/>
  <c r="E86" i="187"/>
  <c r="F86" i="187" s="1"/>
  <c r="E83" i="187"/>
  <c r="F83" i="187" s="1"/>
  <c r="E76" i="187"/>
  <c r="F76" i="187" s="1"/>
  <c r="E92" i="187"/>
  <c r="F92" i="187" s="1"/>
  <c r="E81" i="187"/>
  <c r="F81" i="187" s="1"/>
  <c r="E74" i="187"/>
  <c r="F74" i="187" s="1"/>
  <c r="E90" i="187"/>
  <c r="F90" i="187" s="1"/>
  <c r="F30" i="187" l="1"/>
  <c r="F95" i="187"/>
  <c r="F26" i="187" s="1"/>
  <c r="F28" i="187" s="1"/>
  <c r="E95" i="187"/>
</calcChain>
</file>

<file path=xl/sharedStrings.xml><?xml version="1.0" encoding="utf-8"?>
<sst xmlns="http://schemas.openxmlformats.org/spreadsheetml/2006/main" count="61" uniqueCount="54">
  <si>
    <t>Щомісячний платіж</t>
  </si>
  <si>
    <t>Всього</t>
  </si>
  <si>
    <t>Місяць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</si>
  <si>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</si>
  <si>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</si>
  <si>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</si>
  <si>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</si>
  <si>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</si>
  <si>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</si>
  <si>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</si>
  <si>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</si>
  <si>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</si>
  <si>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Код</t>
  </si>
  <si>
    <t>Cash out, грн.</t>
  </si>
  <si>
    <t>9 місяців</t>
  </si>
  <si>
    <t>6 місяців</t>
  </si>
  <si>
    <t>14 місяців</t>
  </si>
  <si>
    <t>Макс. сума</t>
  </si>
  <si>
    <t>термін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</si>
  <si>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</si>
  <si>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</si>
  <si>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</si>
  <si>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</si>
  <si>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</si>
  <si>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</si>
  <si>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>к-ть днів у місяці</t>
  </si>
  <si>
    <t>Початкова комісія</t>
  </si>
  <si>
    <t>Крок</t>
  </si>
  <si>
    <t>Разовий страховий тариф, %</t>
  </si>
  <si>
    <t xml:space="preserve">Щомісячна плата за обслуговування кредитної заборгованості, % </t>
  </si>
  <si>
    <t>Розмір щомісячної плати за обслуговування кредитної заборгованості, грн.</t>
  </si>
  <si>
    <t>Проценти за користування кредитом, грн.</t>
  </si>
  <si>
    <t>Погашення суми кредиту, грн.</t>
  </si>
  <si>
    <t>Сума платежу за розрахунковий період, грн.</t>
  </si>
  <si>
    <t>Орієнтовний порядок повернення кредиту</t>
  </si>
  <si>
    <t>Орієнтовні загальні витрати за кредитом, грн.</t>
  </si>
  <si>
    <t>№ з/п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</si>
  <si>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термін кредиту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</si>
  <si>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</si>
  <si>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</si>
  <si>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</si>
  <si>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 xml:space="preserve">% ставка знижена </t>
  </si>
  <si>
    <t>Реальна річна процентна ставка, %</t>
  </si>
  <si>
    <r>
      <rPr>
        <b/>
        <sz val="11"/>
        <color rgb="FFFF0000"/>
        <rFont val="Arial Cyr"/>
        <charset val="204"/>
      </rPr>
      <t>!!!</t>
    </r>
    <r>
      <rPr>
        <b/>
        <sz val="11"/>
        <rFont val="Arial Cyr"/>
        <family val="2"/>
        <charset val="204"/>
      </rPr>
      <t>Введіть бажану суму перекредитування у іншому Банку</t>
    </r>
  </si>
  <si>
    <t>Загальна сума кредиту, грн.</t>
  </si>
  <si>
    <t>Процентна ставка (для кредитів Ідея/сума на руки), % річних</t>
  </si>
  <si>
    <t>Процентна ставка (для кредитів інших банків), % річних</t>
  </si>
  <si>
    <r>
      <rPr>
        <b/>
        <sz val="11"/>
        <color rgb="FFFF0000"/>
        <rFont val="Arial Cyr"/>
        <charset val="204"/>
      </rPr>
      <t>!!!</t>
    </r>
    <r>
      <rPr>
        <b/>
        <sz val="11"/>
        <rFont val="Arial Cyr"/>
        <family val="2"/>
        <charset val="204"/>
      </rPr>
      <t>Введіть бажану суму перекредитування у Ідея (сума на руки)</t>
    </r>
  </si>
  <si>
    <t>Середньозважена процентна ставка, % річних</t>
  </si>
  <si>
    <t xml:space="preserve">% ставка  </t>
  </si>
  <si>
    <t xml:space="preserve">Зустрічна пропозиція, 60 міс. </t>
  </si>
  <si>
    <t xml:space="preserve">Зустрічна пропозиція, 48 міс. </t>
  </si>
  <si>
    <t xml:space="preserve">Зустрічна пропозиція, 36 міс. </t>
  </si>
  <si>
    <t>max. 500000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</si>
</sst>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_ _-;\-* #,##0.00\ _ _-;_-* &quot;-&quot;??\ _ _-;_-@_-"/>
    <numFmt numFmtId="165" formatCode="#&quot; &quot;##0"/>
    <numFmt numFmtId="166" formatCode="0.0%"/>
    <numFmt numFmtId="167" formatCode="#&quot; &quot;##0.0"/>
    <numFmt numFmtId="168" formatCode="#&quot; &quot;##0.00"/>
    <numFmt numFmtId="169" formatCode="#&quot; &quot;##0.00\ [$грн.-422]"/>
    <numFmt numFmtId="170" formatCode="#&quot; &quot;##0.0\ [$грн.-422]"/>
    <numFmt numFmtId="171" formatCode="0.0"/>
    <numFmt numFmtId="172" formatCode="_-* #&quot; &quot;##0.0\ _ _-;\-* #&quot; &quot;##0.0\ _ _-;_-* &quot;-&quot;??\ _ _-;_-@_-"/>
    <numFmt numFmtId="173" formatCode="#&quot; &quot;##0_ ;\-#&quot; &quot;##0\ "/>
    <numFmt numFmtId="174" formatCode="0.0000%"/>
    <numFmt numFmtId="175" formatCode="0.000000%"/>
    <numFmt numFmtId="176" formatCode="#,##0.00&quot;₴&quot;"/>
    <numFmt numFmtId="177" formatCode="_-* #,##0.00&quot; &quot;_-;\-* #,##0.00&quot; &quot;_-;_-* &quot;-&quot;??&quot; &quot;_-;_-@_-"/>
    <numFmt numFmtId="178" formatCode="_-* #,##0\ _ _-;\-* #,##0\ _ _-;_-* &quot;-&quot;??\ _ _-;_-@_-"/>
  </numFmts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7.5"/>
      <name val="Arial"/>
      <family val="2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sz val="10"/>
      <color indexed="55"/>
      <name val="Arial"/>
      <family val="2"/>
      <charset val="204"/>
    </font>
    <font>
      <b/>
      <sz val="8"/>
      <name val="Arial Cyr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u/>
      <sz val="11"/>
      <color rgb="FFFF0000"/>
      <name val="Arial Narrow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12"/>
      <name val="Arial Cyr"/>
      <charset val="204"/>
    </font>
    <font>
      <b/>
      <u/>
      <sz val="9"/>
      <name val="Arial"/>
      <family val="2"/>
      <charset val="204"/>
    </font>
    <font>
      <b/>
      <sz val="11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rgb="FFFF0000"/>
      <name val="Arial Cyr"/>
      <charset val="204"/>
    </font>
    <font>
      <b/>
      <sz val="11"/>
      <name val="Arial Cyr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fgColor rgb="FFFF0000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5">
    <xf numFmtId="0" fontId="0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201">
    <xf numFmtId="0" fontId="0" fillId="0" borderId="0" xfId="0"/>
    <xf numFmtId="0" fontId="9" fillId="3" borderId="0" xfId="23" applyFont="1" applyFill="1"/>
    <xf numFmtId="0" fontId="5" fillId="3" borderId="0" xfId="23" applyFill="1"/>
    <xf numFmtId="0" fontId="0" fillId="3" borderId="0" xfId="0" applyFill="1"/>
    <xf numFmtId="0" fontId="5" fillId="0" borderId="0" xfId="23"/>
    <xf numFmtId="0" fontId="8" fillId="3" borderId="0" xfId="0" applyFont="1" applyFill="1"/>
    <xf numFmtId="1" fontId="5" fillId="3" borderId="0" xfId="23" applyNumberFormat="1" applyFill="1" applyAlignment="1">
      <alignment vertical="top" wrapText="1"/>
    </xf>
    <xf numFmtId="10" fontId="4" fillId="0" borderId="1" xfId="23" applyNumberFormat="1" applyFont="1" applyBorder="1" applyAlignment="1">
      <alignment horizontal="center"/>
    </xf>
    <xf numFmtId="10" fontId="17" fillId="0" borderId="1" xfId="23" applyNumberFormat="1" applyFont="1" applyBorder="1" applyAlignment="1">
      <alignment horizontal="center"/>
    </xf>
    <xf numFmtId="10" fontId="4" fillId="3" borderId="0" xfId="23" applyNumberFormat="1" applyFont="1" applyFill="1" applyAlignment="1">
      <alignment horizontal="center"/>
    </xf>
    <xf numFmtId="0" fontId="11" fillId="3" borderId="0" xfId="0" applyFont="1" applyFill="1"/>
    <xf numFmtId="0" fontId="18" fillId="3" borderId="0" xfId="23" applyFont="1" applyFill="1" applyAlignment="1">
      <alignment horizontal="center"/>
    </xf>
    <xf numFmtId="0" fontId="9" fillId="0" borderId="0" xfId="23" applyFont="1"/>
    <xf numFmtId="169" fontId="4" fillId="0" borderId="1" xfId="23" applyNumberFormat="1" applyFont="1" applyBorder="1" applyAlignment="1">
      <alignment horizontal="center"/>
    </xf>
    <xf numFmtId="169" fontId="17" fillId="0" borderId="1" xfId="23" applyNumberFormat="1" applyFont="1" applyBorder="1" applyAlignment="1">
      <alignment horizontal="center"/>
    </xf>
    <xf numFmtId="0" fontId="8" fillId="3" borderId="0" xfId="0" applyFont="1" applyFill="1" applyAlignment="1">
      <alignment horizontal="left"/>
    </xf>
    <xf numFmtId="169" fontId="4" fillId="3" borderId="0" xfId="23" applyNumberFormat="1" applyFont="1" applyFill="1" applyAlignment="1">
      <alignment horizontal="center"/>
    </xf>
    <xf numFmtId="0" fontId="20" fillId="3" borderId="0" xfId="23" applyFont="1" applyFill="1"/>
    <xf numFmtId="0" fontId="19" fillId="3" borderId="0" xfId="23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169" fontId="4" fillId="3" borderId="2" xfId="23" applyNumberFormat="1" applyFont="1" applyFill="1" applyBorder="1"/>
    <xf numFmtId="166" fontId="4" fillId="0" borderId="1" xfId="23" applyNumberFormat="1" applyFont="1" applyBorder="1" applyAlignment="1">
      <alignment horizontal="center"/>
    </xf>
    <xf numFmtId="170" fontId="21" fillId="0" borderId="1" xfId="23" applyNumberFormat="1" applyFont="1" applyBorder="1" applyAlignment="1">
      <alignment horizontal="center"/>
    </xf>
    <xf numFmtId="169" fontId="21" fillId="0" borderId="1" xfId="23" applyNumberFormat="1" applyFont="1" applyBorder="1" applyAlignment="1">
      <alignment horizontal="center"/>
    </xf>
    <xf numFmtId="0" fontId="12" fillId="3" borderId="0" xfId="0" applyFont="1" applyFill="1"/>
    <xf numFmtId="165" fontId="13" fillId="3" borderId="0" xfId="23" applyNumberFormat="1" applyFont="1" applyFill="1"/>
    <xf numFmtId="0" fontId="13" fillId="3" borderId="0" xfId="23" applyFont="1" applyFill="1"/>
    <xf numFmtId="0" fontId="7" fillId="3" borderId="0" xfId="23" applyFont="1" applyFill="1" applyAlignment="1">
      <alignment horizontal="right"/>
    </xf>
    <xf numFmtId="10" fontId="7" fillId="3" borderId="0" xfId="23" applyNumberFormat="1" applyFont="1" applyFill="1"/>
    <xf numFmtId="0" fontId="4" fillId="3" borderId="0" xfId="23" applyFont="1" applyFill="1" applyAlignment="1">
      <alignment horizontal="right"/>
    </xf>
    <xf numFmtId="9" fontId="4" fillId="3" borderId="0" xfId="23" applyNumberFormat="1" applyFont="1" applyFill="1" applyAlignment="1">
      <alignment horizontal="left"/>
    </xf>
    <xf numFmtId="9" fontId="5" fillId="3" borderId="0" xfId="23" applyNumberFormat="1" applyFill="1" applyAlignment="1">
      <alignment horizontal="left"/>
    </xf>
    <xf numFmtId="10" fontId="4" fillId="3" borderId="1" xfId="23" applyNumberFormat="1" applyFont="1" applyFill="1" applyBorder="1" applyAlignment="1">
      <alignment horizontal="center"/>
    </xf>
    <xf numFmtId="9" fontId="4" fillId="0" borderId="0" xfId="23" applyNumberFormat="1" applyFont="1" applyAlignment="1">
      <alignment horizontal="left"/>
    </xf>
    <xf numFmtId="9" fontId="5" fillId="0" borderId="0" xfId="23" applyNumberFormat="1" applyAlignment="1">
      <alignment horizontal="left"/>
    </xf>
    <xf numFmtId="0" fontId="17" fillId="3" borderId="0" xfId="23" applyFont="1" applyFill="1" applyAlignment="1">
      <alignment horizontal="center"/>
    </xf>
    <xf numFmtId="0" fontId="4" fillId="3" borderId="0" xfId="23" applyFont="1" applyFill="1"/>
    <xf numFmtId="10" fontId="4" fillId="3" borderId="0" xfId="46" applyNumberFormat="1" applyFont="1" applyFill="1" applyAlignment="1" applyProtection="1">
      <alignment horizontal="center" vertical="top" wrapText="1"/>
    </xf>
    <xf numFmtId="169" fontId="5" fillId="0" borderId="3" xfId="23" applyNumberFormat="1" applyBorder="1" applyAlignment="1">
      <alignment horizontal="center"/>
    </xf>
    <xf numFmtId="169" fontId="5" fillId="0" borderId="4" xfId="23" applyNumberFormat="1" applyBorder="1" applyAlignment="1">
      <alignment horizontal="center"/>
    </xf>
    <xf numFmtId="9" fontId="17" fillId="3" borderId="0" xfId="23" applyNumberFormat="1" applyFont="1" applyFill="1" applyAlignment="1">
      <alignment horizontal="center"/>
    </xf>
    <xf numFmtId="0" fontId="17" fillId="0" borderId="0" xfId="23" applyFont="1" applyAlignment="1">
      <alignment horizontal="center"/>
    </xf>
    <xf numFmtId="0" fontId="23" fillId="3" borderId="0" xfId="0" applyFont="1" applyFill="1"/>
    <xf numFmtId="0" fontId="24" fillId="3" borderId="0" xfId="0" applyFont="1" applyFill="1"/>
    <xf numFmtId="0" fontId="25" fillId="0" borderId="0" xfId="23" applyFont="1"/>
    <xf numFmtId="0" fontId="25" fillId="3" borderId="0" xfId="23" applyFont="1" applyFill="1"/>
    <xf numFmtId="0" fontId="27" fillId="0" borderId="0" xfId="23" applyFont="1"/>
    <xf numFmtId="0" fontId="8" fillId="0" borderId="0" xfId="0" applyFont="1" applyAlignment="1">
      <alignment horizontal="left"/>
    </xf>
    <xf numFmtId="0" fontId="27" fillId="3" borderId="0" xfId="23" applyFont="1" applyFill="1"/>
    <xf numFmtId="0" fontId="9" fillId="4" borderId="0" xfId="23" applyFont="1" applyFill="1"/>
    <xf numFmtId="0" fontId="5" fillId="4" borderId="0" xfId="23" applyFill="1"/>
    <xf numFmtId="0" fontId="4" fillId="4" borderId="0" xfId="23" applyFont="1" applyFill="1"/>
    <xf numFmtId="0" fontId="0" fillId="4" borderId="0" xfId="0" applyFill="1"/>
    <xf numFmtId="173" fontId="4" fillId="3" borderId="1" xfId="47" applyNumberFormat="1" applyFont="1" applyFill="1" applyBorder="1" applyAlignment="1" applyProtection="1">
      <alignment horizontal="center"/>
    </xf>
    <xf numFmtId="0" fontId="21" fillId="0" borderId="0" xfId="23" applyFont="1"/>
    <xf numFmtId="166" fontId="5" fillId="0" borderId="3" xfId="24" applyNumberFormat="1" applyFont="1" applyFill="1" applyBorder="1" applyAlignment="1" applyProtection="1">
      <alignment horizontal="center"/>
    </xf>
    <xf numFmtId="166" fontId="5" fillId="0" borderId="4" xfId="24" applyNumberFormat="1" applyFont="1" applyFill="1" applyBorder="1" applyAlignment="1" applyProtection="1">
      <alignment horizontal="center"/>
    </xf>
    <xf numFmtId="171" fontId="29" fillId="3" borderId="0" xfId="23" applyNumberFormat="1" applyFont="1" applyFill="1" applyAlignment="1">
      <alignment horizontal="center" vertical="center"/>
    </xf>
    <xf numFmtId="171" fontId="4" fillId="0" borderId="1" xfId="23" applyNumberFormat="1" applyFont="1" applyBorder="1" applyAlignment="1">
      <alignment horizontal="center"/>
    </xf>
    <xf numFmtId="171" fontId="17" fillId="0" borderId="1" xfId="23" applyNumberFormat="1" applyFont="1" applyBorder="1" applyAlignment="1">
      <alignment horizontal="center"/>
    </xf>
    <xf numFmtId="1" fontId="16" fillId="0" borderId="6" xfId="23" applyNumberFormat="1" applyFont="1" applyBorder="1" applyAlignment="1" applyProtection="1">
      <alignment horizontal="center" vertical="top" wrapText="1"/>
      <protection locked="0"/>
    </xf>
    <xf numFmtId="1" fontId="4" fillId="0" borderId="6" xfId="23" applyNumberFormat="1" applyFont="1" applyBorder="1" applyAlignment="1">
      <alignment horizontal="center" vertical="center"/>
    </xf>
    <xf numFmtId="0" fontId="8" fillId="0" borderId="0" xfId="0" applyFont="1"/>
    <xf numFmtId="1" fontId="5" fillId="0" borderId="0" xfId="23" applyNumberFormat="1" applyAlignment="1">
      <alignment vertical="top" wrapText="1"/>
    </xf>
    <xf numFmtId="0" fontId="4" fillId="0" borderId="0" xfId="23" applyFont="1"/>
    <xf numFmtId="0" fontId="8" fillId="0" borderId="2" xfId="0" applyFont="1" applyBorder="1" applyAlignment="1">
      <alignment horizontal="left"/>
    </xf>
    <xf numFmtId="10" fontId="4" fillId="0" borderId="0" xfId="23" applyNumberFormat="1" applyFont="1" applyAlignment="1">
      <alignment horizontal="center"/>
    </xf>
    <xf numFmtId="10" fontId="4" fillId="0" borderId="0" xfId="46" applyNumberFormat="1" applyFont="1" applyFill="1" applyAlignment="1" applyProtection="1">
      <alignment horizontal="center" vertical="top" wrapText="1"/>
    </xf>
    <xf numFmtId="173" fontId="4" fillId="0" borderId="1" xfId="47" applyNumberFormat="1" applyFont="1" applyFill="1" applyBorder="1" applyAlignment="1" applyProtection="1">
      <alignment horizontal="center"/>
    </xf>
    <xf numFmtId="0" fontId="11" fillId="0" borderId="0" xfId="0" applyFont="1"/>
    <xf numFmtId="1" fontId="28" fillId="0" borderId="0" xfId="23" applyNumberFormat="1" applyFont="1" applyAlignment="1">
      <alignment vertical="top" wrapText="1"/>
    </xf>
    <xf numFmtId="0" fontId="18" fillId="0" borderId="0" xfId="23" applyFont="1" applyAlignment="1">
      <alignment horizontal="center"/>
    </xf>
    <xf numFmtId="165" fontId="28" fillId="0" borderId="0" xfId="23" applyNumberFormat="1" applyFont="1"/>
    <xf numFmtId="169" fontId="4" fillId="0" borderId="0" xfId="23" applyNumberFormat="1" applyFont="1" applyAlignment="1">
      <alignment horizontal="center"/>
    </xf>
    <xf numFmtId="0" fontId="20" fillId="0" borderId="0" xfId="23" applyFont="1"/>
    <xf numFmtId="0" fontId="19" fillId="0" borderId="0" xfId="23" applyFont="1" applyAlignment="1">
      <alignment horizontal="center"/>
    </xf>
    <xf numFmtId="169" fontId="4" fillId="0" borderId="2" xfId="23" applyNumberFormat="1" applyFont="1" applyBorder="1"/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0" fontId="17" fillId="0" borderId="1" xfId="23" applyNumberFormat="1" applyFont="1" applyBorder="1" applyAlignment="1">
      <alignment horizontal="center" vertical="center" wrapText="1"/>
    </xf>
    <xf numFmtId="165" fontId="5" fillId="0" borderId="0" xfId="23" applyNumberFormat="1"/>
    <xf numFmtId="0" fontId="12" fillId="0" borderId="0" xfId="0" applyFont="1"/>
    <xf numFmtId="165" fontId="13" fillId="0" borderId="0" xfId="23" applyNumberFormat="1" applyFont="1"/>
    <xf numFmtId="0" fontId="13" fillId="0" borderId="0" xfId="23" applyFont="1"/>
    <xf numFmtId="165" fontId="17" fillId="0" borderId="7" xfId="23" applyNumberFormat="1" applyFont="1" applyBorder="1" applyAlignment="1">
      <alignment horizontal="center" vertical="center" wrapText="1"/>
    </xf>
    <xf numFmtId="0" fontId="7" fillId="0" borderId="0" xfId="23" applyFont="1" applyAlignment="1">
      <alignment horizontal="right"/>
    </xf>
    <xf numFmtId="10" fontId="7" fillId="0" borderId="0" xfId="23" applyNumberFormat="1" applyFont="1"/>
    <xf numFmtId="0" fontId="4" fillId="0" borderId="0" xfId="23" applyFont="1" applyAlignment="1">
      <alignment horizontal="right"/>
    </xf>
    <xf numFmtId="9" fontId="17" fillId="0" borderId="0" xfId="23" applyNumberFormat="1" applyFont="1" applyAlignment="1">
      <alignment horizontal="center"/>
    </xf>
    <xf numFmtId="0" fontId="30" fillId="4" borderId="0" xfId="23" applyFont="1" applyFill="1" applyAlignment="1">
      <alignment horizontal="center"/>
    </xf>
    <xf numFmtId="10" fontId="31" fillId="3" borderId="0" xfId="23" applyNumberFormat="1" applyFont="1" applyFill="1" applyAlignment="1">
      <alignment horizontal="center"/>
    </xf>
    <xf numFmtId="0" fontId="9" fillId="3" borderId="8" xfId="23" applyFont="1" applyFill="1" applyBorder="1"/>
    <xf numFmtId="0" fontId="5" fillId="3" borderId="9" xfId="23" applyFill="1" applyBorder="1"/>
    <xf numFmtId="0" fontId="33" fillId="3" borderId="0" xfId="0" applyFont="1" applyFill="1"/>
    <xf numFmtId="165" fontId="17" fillId="5" borderId="7" xfId="23" applyNumberFormat="1" applyFont="1" applyFill="1" applyBorder="1" applyAlignment="1">
      <alignment horizontal="center" vertical="center" wrapText="1"/>
    </xf>
    <xf numFmtId="0" fontId="34" fillId="3" borderId="0" xfId="23" applyFont="1" applyFill="1"/>
    <xf numFmtId="0" fontId="5" fillId="7" borderId="0" xfId="23" applyFill="1"/>
    <xf numFmtId="0" fontId="9" fillId="7" borderId="0" xfId="23" applyFont="1" applyFill="1"/>
    <xf numFmtId="0" fontId="28" fillId="4" borderId="0" xfId="23" applyFont="1" applyFill="1"/>
    <xf numFmtId="0" fontId="32" fillId="0" borderId="0" xfId="23" applyFont="1"/>
    <xf numFmtId="0" fontId="5" fillId="0" borderId="23" xfId="23" applyBorder="1" applyAlignment="1">
      <alignment horizontal="center"/>
    </xf>
    <xf numFmtId="0" fontId="5" fillId="0" borderId="19" xfId="23" applyBorder="1" applyAlignment="1">
      <alignment horizontal="center"/>
    </xf>
    <xf numFmtId="0" fontId="36" fillId="3" borderId="0" xfId="0" applyFont="1" applyFill="1"/>
    <xf numFmtId="14" fontId="5" fillId="0" borderId="1" xfId="23" applyNumberFormat="1" applyBorder="1" applyAlignment="1">
      <alignment horizontal="center"/>
    </xf>
    <xf numFmtId="176" fontId="9" fillId="3" borderId="0" xfId="23" applyNumberFormat="1" applyFont="1" applyFill="1"/>
    <xf numFmtId="0" fontId="37" fillId="4" borderId="0" xfId="0" applyFont="1" applyFill="1"/>
    <xf numFmtId="0" fontId="17" fillId="4" borderId="0" xfId="23" applyFont="1" applyFill="1" applyAlignment="1">
      <alignment horizontal="center"/>
    </xf>
    <xf numFmtId="14" fontId="5" fillId="0" borderId="13" xfId="23" applyNumberFormat="1" applyBorder="1" applyAlignment="1">
      <alignment horizontal="center"/>
    </xf>
    <xf numFmtId="0" fontId="32" fillId="4" borderId="0" xfId="23" applyFont="1" applyFill="1"/>
    <xf numFmtId="0" fontId="32" fillId="4" borderId="0" xfId="23" applyFont="1" applyFill="1" applyAlignment="1">
      <alignment horizontal="right"/>
    </xf>
    <xf numFmtId="0" fontId="0" fillId="0" borderId="0" xfId="0" applyProtection="1">
      <protection hidden="1"/>
    </xf>
    <xf numFmtId="10" fontId="0" fillId="0" borderId="0" xfId="24" applyNumberFormat="1" applyFont="1" applyProtection="1">
      <protection hidden="1"/>
    </xf>
    <xf numFmtId="172" fontId="0" fillId="0" borderId="0" xfId="47" applyNumberFormat="1" applyFont="1" applyProtection="1">
      <protection hidden="1"/>
    </xf>
    <xf numFmtId="0" fontId="0" fillId="8" borderId="0" xfId="0" applyFill="1" applyProtection="1">
      <protection hidden="1"/>
    </xf>
    <xf numFmtId="1" fontId="28" fillId="4" borderId="0" xfId="23" applyNumberFormat="1" applyFont="1" applyFill="1" applyAlignment="1">
      <alignment vertical="top" wrapText="1"/>
    </xf>
    <xf numFmtId="165" fontId="28" fillId="4" borderId="0" xfId="23" applyNumberFormat="1" applyFont="1" applyFill="1"/>
    <xf numFmtId="14" fontId="39" fillId="3" borderId="0" xfId="23" applyNumberFormat="1" applyFont="1" applyFill="1" applyAlignment="1">
      <alignment horizontal="center"/>
    </xf>
    <xf numFmtId="165" fontId="17" fillId="5" borderId="20" xfId="23" applyNumberFormat="1" applyFont="1" applyFill="1" applyBorder="1" applyAlignment="1">
      <alignment horizontal="center" vertical="center" wrapText="1"/>
    </xf>
    <xf numFmtId="14" fontId="27" fillId="3" borderId="0" xfId="23" applyNumberFormat="1" applyFont="1" applyFill="1"/>
    <xf numFmtId="1" fontId="4" fillId="3" borderId="0" xfId="23" applyNumberFormat="1" applyFont="1" applyFill="1" applyAlignment="1">
      <alignment horizontal="center" vertical="center"/>
    </xf>
    <xf numFmtId="166" fontId="4" fillId="0" borderId="0" xfId="23" applyNumberFormat="1" applyFont="1" applyAlignment="1">
      <alignment horizontal="center"/>
    </xf>
    <xf numFmtId="10" fontId="17" fillId="0" borderId="0" xfId="23" applyNumberFormat="1" applyFont="1" applyAlignment="1">
      <alignment horizontal="center"/>
    </xf>
    <xf numFmtId="0" fontId="5" fillId="0" borderId="25" xfId="23" applyBorder="1" applyAlignment="1">
      <alignment horizontal="center"/>
    </xf>
    <xf numFmtId="14" fontId="5" fillId="0" borderId="12" xfId="23" applyNumberFormat="1" applyBorder="1" applyAlignment="1">
      <alignment horizontal="center"/>
    </xf>
    <xf numFmtId="2" fontId="5" fillId="0" borderId="13" xfId="23" applyNumberFormat="1" applyBorder="1" applyAlignment="1">
      <alignment horizontal="center"/>
    </xf>
    <xf numFmtId="167" fontId="5" fillId="0" borderId="13" xfId="23" applyNumberFormat="1" applyBorder="1" applyAlignment="1">
      <alignment horizontal="center"/>
    </xf>
    <xf numFmtId="2" fontId="5" fillId="0" borderId="1" xfId="23" applyNumberFormat="1" applyBorder="1" applyAlignment="1">
      <alignment horizontal="center"/>
    </xf>
    <xf numFmtId="0" fontId="5" fillId="9" borderId="0" xfId="23" applyFill="1"/>
    <xf numFmtId="168" fontId="10" fillId="2" borderId="6" xfId="23" applyNumberFormat="1" applyFont="1" applyFill="1" applyBorder="1" applyAlignment="1">
      <alignment horizontal="center" vertical="center"/>
    </xf>
    <xf numFmtId="10" fontId="4" fillId="0" borderId="26" xfId="23" applyNumberFormat="1" applyFont="1" applyBorder="1"/>
    <xf numFmtId="10" fontId="4" fillId="0" borderId="0" xfId="23" applyNumberFormat="1" applyFont="1"/>
    <xf numFmtId="178" fontId="41" fillId="10" borderId="1" xfId="47" applyNumberFormat="1" applyFont="1" applyFill="1" applyBorder="1" applyAlignment="1" applyProtection="1">
      <alignment horizontal="center" vertical="top" wrapText="1"/>
      <protection locked="0"/>
    </xf>
    <xf numFmtId="0" fontId="0" fillId="8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14" fillId="0" borderId="22" xfId="0" applyFont="1" applyBorder="1" applyAlignment="1">
      <alignment vertical="center"/>
    </xf>
    <xf numFmtId="0" fontId="0" fillId="11" borderId="1" xfId="0" applyFill="1" applyBorder="1" applyProtection="1">
      <protection hidden="1"/>
    </xf>
    <xf numFmtId="10" fontId="0" fillId="11" borderId="1" xfId="24" applyNumberFormat="1" applyFont="1" applyFill="1" applyBorder="1" applyProtection="1">
      <protection hidden="1"/>
    </xf>
    <xf numFmtId="4" fontId="3" fillId="11" borderId="1" xfId="2" applyNumberFormat="1" applyFill="1" applyBorder="1" applyAlignment="1" applyProtection="1">
      <alignment horizontal="center"/>
      <protection hidden="1"/>
    </xf>
    <xf numFmtId="174" fontId="3" fillId="11" borderId="1" xfId="49" applyNumberFormat="1" applyFont="1" applyFill="1" applyBorder="1" applyAlignment="1">
      <alignment horizontal="center"/>
    </xf>
    <xf numFmtId="175" fontId="3" fillId="11" borderId="1" xfId="24" applyNumberFormat="1" applyFont="1" applyFill="1" applyBorder="1" applyAlignment="1" applyProtection="1">
      <alignment horizontal="right"/>
      <protection hidden="1"/>
    </xf>
    <xf numFmtId="0" fontId="43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3" xfId="0" applyFont="1" applyBorder="1" applyAlignment="1">
      <alignment horizontal="left" vertical="center"/>
    </xf>
    <xf numFmtId="178" fontId="41" fillId="0" borderId="1" xfId="47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/>
    <xf numFmtId="10" fontId="10" fillId="12" borderId="6" xfId="23" applyNumberFormat="1" applyFont="1" applyFill="1" applyBorder="1" applyAlignment="1">
      <alignment horizontal="center" vertical="center"/>
    </xf>
    <xf numFmtId="169" fontId="10" fillId="0" borderId="1" xfId="23" applyNumberFormat="1" applyFont="1" applyBorder="1" applyAlignment="1">
      <alignment horizontal="center"/>
    </xf>
    <xf numFmtId="0" fontId="0" fillId="0" borderId="0" xfId="0" applyAlignment="1" applyProtection="1">
      <alignment vertical="center" wrapText="1"/>
      <protection hidden="1"/>
    </xf>
    <xf numFmtId="166" fontId="5" fillId="3" borderId="0" xfId="46" applyNumberFormat="1" applyFont="1" applyFill="1" applyAlignment="1" applyProtection="1">
      <alignment horizontal="left"/>
    </xf>
    <xf numFmtId="4" fontId="17" fillId="0" borderId="1" xfId="23" applyNumberFormat="1" applyFont="1" applyBorder="1" applyAlignment="1">
      <alignment horizontal="center"/>
    </xf>
    <xf numFmtId="4" fontId="17" fillId="0" borderId="12" xfId="23" applyNumberFormat="1" applyFont="1" applyBorder="1" applyAlignment="1">
      <alignment horizontal="center"/>
    </xf>
    <xf numFmtId="0" fontId="15" fillId="6" borderId="20" xfId="0" applyFont="1" applyFill="1" applyBorder="1" applyAlignment="1">
      <alignment horizontal="left" vertical="center"/>
    </xf>
    <xf numFmtId="0" fontId="38" fillId="0" borderId="21" xfId="0" applyFont="1" applyBorder="1" applyAlignment="1">
      <alignment horizontal="left" vertical="center"/>
    </xf>
    <xf numFmtId="0" fontId="38" fillId="0" borderId="22" xfId="0" applyFont="1" applyBorder="1" applyAlignment="1">
      <alignment horizontal="left" vertical="center"/>
    </xf>
    <xf numFmtId="0" fontId="10" fillId="2" borderId="20" xfId="23" applyFont="1" applyFill="1" applyBorder="1" applyAlignment="1">
      <alignment horizontal="left" vertical="center"/>
    </xf>
    <xf numFmtId="0" fontId="10" fillId="2" borderId="22" xfId="23" applyFont="1" applyFill="1" applyBorder="1" applyAlignment="1">
      <alignment horizontal="left" vertical="center"/>
    </xf>
    <xf numFmtId="168" fontId="10" fillId="2" borderId="20" xfId="23" applyNumberFormat="1" applyFont="1" applyFill="1" applyBorder="1" applyAlignment="1">
      <alignment horizontal="center" vertical="center"/>
    </xf>
    <xf numFmtId="168" fontId="10" fillId="2" borderId="22" xfId="23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10" fontId="17" fillId="0" borderId="0" xfId="23" applyNumberFormat="1" applyFont="1" applyAlignment="1">
      <alignment horizontal="center"/>
    </xf>
    <xf numFmtId="165" fontId="17" fillId="5" borderId="20" xfId="23" applyNumberFormat="1" applyFont="1" applyFill="1" applyBorder="1" applyAlignment="1">
      <alignment horizontal="center" vertical="center" wrapText="1"/>
    </xf>
    <xf numFmtId="165" fontId="17" fillId="5" borderId="22" xfId="23" applyNumberFormat="1" applyFont="1" applyFill="1" applyBorder="1" applyAlignment="1">
      <alignment horizontal="center" vertical="center" wrapText="1"/>
    </xf>
    <xf numFmtId="4" fontId="30" fillId="3" borderId="9" xfId="23" applyNumberFormat="1" applyFont="1" applyFill="1" applyBorder="1" applyAlignment="1">
      <alignment horizontal="center"/>
    </xf>
    <xf numFmtId="4" fontId="30" fillId="3" borderId="16" xfId="23" applyNumberFormat="1" applyFont="1" applyFill="1" applyBorder="1" applyAlignment="1">
      <alignment horizontal="center"/>
    </xf>
    <xf numFmtId="0" fontId="14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0" fontId="9" fillId="0" borderId="26" xfId="23" applyFont="1" applyBorder="1" applyAlignment="1">
      <alignment horizontal="center"/>
    </xf>
    <xf numFmtId="0" fontId="9" fillId="0" borderId="0" xfId="23" applyFont="1" applyAlignment="1">
      <alignment horizontal="center"/>
    </xf>
    <xf numFmtId="171" fontId="17" fillId="0" borderId="0" xfId="23" applyNumberFormat="1" applyFont="1" applyAlignment="1">
      <alignment horizontal="center"/>
    </xf>
    <xf numFmtId="0" fontId="4" fillId="9" borderId="5" xfId="23" applyFont="1" applyFill="1" applyBorder="1" applyAlignment="1">
      <alignment horizontal="center"/>
    </xf>
    <xf numFmtId="0" fontId="17" fillId="5" borderId="8" xfId="23" applyFont="1" applyFill="1" applyBorder="1" applyAlignment="1" applyProtection="1">
      <alignment horizontal="center" vertical="center"/>
      <protection locked="0"/>
    </xf>
    <xf numFmtId="0" fontId="17" fillId="5" borderId="16" xfId="23" applyFont="1" applyFill="1" applyBorder="1" applyAlignment="1" applyProtection="1">
      <alignment horizontal="center" vertical="center"/>
      <protection locked="0"/>
    </xf>
    <xf numFmtId="10" fontId="35" fillId="4" borderId="0" xfId="23" applyNumberFormat="1" applyFont="1" applyFill="1" applyAlignment="1">
      <alignment horizontal="center" vertical="center" wrapText="1"/>
    </xf>
    <xf numFmtId="10" fontId="22" fillId="5" borderId="17" xfId="23" applyNumberFormat="1" applyFont="1" applyFill="1" applyBorder="1" applyAlignment="1">
      <alignment horizontal="center" vertical="center"/>
    </xf>
    <xf numFmtId="10" fontId="22" fillId="5" borderId="18" xfId="23" applyNumberFormat="1" applyFont="1" applyFill="1" applyBorder="1" applyAlignment="1">
      <alignment horizontal="center" vertical="center"/>
    </xf>
    <xf numFmtId="0" fontId="43" fillId="9" borderId="20" xfId="0" applyFont="1" applyFill="1" applyBorder="1" applyAlignment="1">
      <alignment horizontal="left" vertical="center"/>
    </xf>
    <xf numFmtId="0" fontId="40" fillId="9" borderId="21" xfId="0" applyFont="1" applyFill="1" applyBorder="1" applyAlignment="1">
      <alignment horizontal="left" vertical="center"/>
    </xf>
    <xf numFmtId="0" fontId="40" fillId="9" borderId="24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26" fillId="0" borderId="1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8" fillId="0" borderId="10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166" fontId="5" fillId="0" borderId="0" xfId="46" applyNumberFormat="1" applyFont="1" applyFill="1" applyAlignment="1" applyProtection="1">
      <alignment horizontal="left"/>
    </xf>
    <xf numFmtId="165" fontId="17" fillId="0" borderId="20" xfId="23" applyNumberFormat="1" applyFont="1" applyBorder="1" applyAlignment="1">
      <alignment horizontal="center" vertical="center" wrapText="1"/>
    </xf>
    <xf numFmtId="165" fontId="17" fillId="0" borderId="22" xfId="23" applyNumberFormat="1" applyFont="1" applyBorder="1" applyAlignment="1">
      <alignment horizontal="center" vertical="center" wrapText="1"/>
    </xf>
    <xf numFmtId="165" fontId="17" fillId="0" borderId="19" xfId="23" applyNumberFormat="1" applyFont="1" applyBorder="1" applyAlignment="1">
      <alignment horizontal="center" vertical="center" wrapText="1"/>
    </xf>
    <xf numFmtId="165" fontId="17" fillId="0" borderId="15" xfId="23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</cellXfs>
  <cellStyles count="75">
    <cellStyle name="Відсотковий" xfId="24" builtinId="5"/>
    <cellStyle name="Денежный 2" xfId="50" xr:uid="{00000000-0005-0000-0000-000000000000}"/>
    <cellStyle name="Звичайний" xfId="0" builtinId="0"/>
    <cellStyle name="Обычный 17" xfId="1" xr:uid="{00000000-0005-0000-0000-000002000000}"/>
    <cellStyle name="Обычный 17 2" xfId="52" xr:uid="{00000000-0005-0000-0000-000003000000}"/>
    <cellStyle name="Обычный 2" xfId="2" xr:uid="{00000000-0005-0000-0000-000004000000}"/>
    <cellStyle name="Обычный 2 10" xfId="3" xr:uid="{00000000-0005-0000-0000-000005000000}"/>
    <cellStyle name="Обычный 2 10 2" xfId="53" xr:uid="{00000000-0005-0000-0000-000006000000}"/>
    <cellStyle name="Обычный 2 11" xfId="4" xr:uid="{00000000-0005-0000-0000-000007000000}"/>
    <cellStyle name="Обычный 2 11 2" xfId="54" xr:uid="{00000000-0005-0000-0000-000008000000}"/>
    <cellStyle name="Обычный 2 12" xfId="5" xr:uid="{00000000-0005-0000-0000-000009000000}"/>
    <cellStyle name="Обычный 2 12 2" xfId="55" xr:uid="{00000000-0005-0000-0000-00000A000000}"/>
    <cellStyle name="Обычный 2 13" xfId="6" xr:uid="{00000000-0005-0000-0000-00000B000000}"/>
    <cellStyle name="Обычный 2 13 2" xfId="56" xr:uid="{00000000-0005-0000-0000-00000C000000}"/>
    <cellStyle name="Обычный 2 14" xfId="7" xr:uid="{00000000-0005-0000-0000-00000D000000}"/>
    <cellStyle name="Обычный 2 14 2" xfId="57" xr:uid="{00000000-0005-0000-0000-00000E000000}"/>
    <cellStyle name="Обычный 2 15" xfId="8" xr:uid="{00000000-0005-0000-0000-00000F000000}"/>
    <cellStyle name="Обычный 2 15 2" xfId="58" xr:uid="{00000000-0005-0000-0000-000010000000}"/>
    <cellStyle name="Обычный 2 16" xfId="9" xr:uid="{00000000-0005-0000-0000-000011000000}"/>
    <cellStyle name="Обычный 2 16 2" xfId="59" xr:uid="{00000000-0005-0000-0000-000012000000}"/>
    <cellStyle name="Обычный 2 17" xfId="10" xr:uid="{00000000-0005-0000-0000-000013000000}"/>
    <cellStyle name="Обычный 2 17 2" xfId="60" xr:uid="{00000000-0005-0000-0000-000014000000}"/>
    <cellStyle name="Обычный 2 18" xfId="11" xr:uid="{00000000-0005-0000-0000-000015000000}"/>
    <cellStyle name="Обычный 2 18 2" xfId="61" xr:uid="{00000000-0005-0000-0000-000016000000}"/>
    <cellStyle name="Обычный 2 19" xfId="12" xr:uid="{00000000-0005-0000-0000-000017000000}"/>
    <cellStyle name="Обычный 2 19 2" xfId="62" xr:uid="{00000000-0005-0000-0000-000018000000}"/>
    <cellStyle name="Обычный 2 2" xfId="13" xr:uid="{00000000-0005-0000-0000-000019000000}"/>
    <cellStyle name="Обычный 2 2 2" xfId="63" xr:uid="{00000000-0005-0000-0000-00001A000000}"/>
    <cellStyle name="Обычный 2 20" xfId="14" xr:uid="{00000000-0005-0000-0000-00001B000000}"/>
    <cellStyle name="Обычный 2 20 2" xfId="64" xr:uid="{00000000-0005-0000-0000-00001C000000}"/>
    <cellStyle name="Обычный 2 21" xfId="15" xr:uid="{00000000-0005-0000-0000-00001D000000}"/>
    <cellStyle name="Обычный 2 21 2" xfId="65" xr:uid="{00000000-0005-0000-0000-00001E000000}"/>
    <cellStyle name="Обычный 2 3" xfId="16" xr:uid="{00000000-0005-0000-0000-00001F000000}"/>
    <cellStyle name="Обычный 2 3 2" xfId="66" xr:uid="{00000000-0005-0000-0000-000020000000}"/>
    <cellStyle name="Обычный 2 4" xfId="17" xr:uid="{00000000-0005-0000-0000-000021000000}"/>
    <cellStyle name="Обычный 2 4 2" xfId="67" xr:uid="{00000000-0005-0000-0000-000022000000}"/>
    <cellStyle name="Обычный 2 5" xfId="18" xr:uid="{00000000-0005-0000-0000-000023000000}"/>
    <cellStyle name="Обычный 2 5 2" xfId="68" xr:uid="{00000000-0005-0000-0000-000024000000}"/>
    <cellStyle name="Обычный 2 6" xfId="19" xr:uid="{00000000-0005-0000-0000-000025000000}"/>
    <cellStyle name="Обычный 2 6 2" xfId="69" xr:uid="{00000000-0005-0000-0000-000026000000}"/>
    <cellStyle name="Обычный 2 7" xfId="20" xr:uid="{00000000-0005-0000-0000-000027000000}"/>
    <cellStyle name="Обычный 2 7 2" xfId="70" xr:uid="{00000000-0005-0000-0000-000028000000}"/>
    <cellStyle name="Обычный 2 8" xfId="21" xr:uid="{00000000-0005-0000-0000-000029000000}"/>
    <cellStyle name="Обычный 2 8 2" xfId="71" xr:uid="{00000000-0005-0000-0000-00002A000000}"/>
    <cellStyle name="Обычный 2 9" xfId="22" xr:uid="{00000000-0005-0000-0000-00002B000000}"/>
    <cellStyle name="Обычный 2 9 2" xfId="72" xr:uid="{00000000-0005-0000-0000-00002C000000}"/>
    <cellStyle name="Обычный 3" xfId="51" xr:uid="{00000000-0005-0000-0000-00002D000000}"/>
    <cellStyle name="Обычный 3 2" xfId="74" xr:uid="{00000000-0005-0000-0000-00002E000000}"/>
    <cellStyle name="Обычный_Nedootrumani_dohodu" xfId="23" xr:uid="{00000000-0005-0000-0000-00002F000000}"/>
    <cellStyle name="Процентный 2" xfId="25" xr:uid="{00000000-0005-0000-0000-000031000000}"/>
    <cellStyle name="Процентный 2 10" xfId="26" xr:uid="{00000000-0005-0000-0000-000032000000}"/>
    <cellStyle name="Процентный 2 11" xfId="27" xr:uid="{00000000-0005-0000-0000-000033000000}"/>
    <cellStyle name="Процентный 2 12" xfId="28" xr:uid="{00000000-0005-0000-0000-000034000000}"/>
    <cellStyle name="Процентный 2 13" xfId="29" xr:uid="{00000000-0005-0000-0000-000035000000}"/>
    <cellStyle name="Процентный 2 14" xfId="30" xr:uid="{00000000-0005-0000-0000-000036000000}"/>
    <cellStyle name="Процентный 2 15" xfId="31" xr:uid="{00000000-0005-0000-0000-000037000000}"/>
    <cellStyle name="Процентный 2 16" xfId="32" xr:uid="{00000000-0005-0000-0000-000038000000}"/>
    <cellStyle name="Процентный 2 17" xfId="33" xr:uid="{00000000-0005-0000-0000-000039000000}"/>
    <cellStyle name="Процентный 2 18" xfId="34" xr:uid="{00000000-0005-0000-0000-00003A000000}"/>
    <cellStyle name="Процентный 2 19" xfId="35" xr:uid="{00000000-0005-0000-0000-00003B000000}"/>
    <cellStyle name="Процентный 2 2" xfId="36" xr:uid="{00000000-0005-0000-0000-00003C000000}"/>
    <cellStyle name="Процентный 2 20" xfId="37" xr:uid="{00000000-0005-0000-0000-00003D000000}"/>
    <cellStyle name="Процентный 2 21" xfId="38" xr:uid="{00000000-0005-0000-0000-00003E000000}"/>
    <cellStyle name="Процентный 2 3" xfId="39" xr:uid="{00000000-0005-0000-0000-00003F000000}"/>
    <cellStyle name="Процентный 2 4" xfId="40" xr:uid="{00000000-0005-0000-0000-000040000000}"/>
    <cellStyle name="Процентный 2 5" xfId="41" xr:uid="{00000000-0005-0000-0000-000041000000}"/>
    <cellStyle name="Процентный 2 6" xfId="42" xr:uid="{00000000-0005-0000-0000-000042000000}"/>
    <cellStyle name="Процентный 2 7" xfId="43" xr:uid="{00000000-0005-0000-0000-000043000000}"/>
    <cellStyle name="Процентный 2 8" xfId="44" xr:uid="{00000000-0005-0000-0000-000044000000}"/>
    <cellStyle name="Процентный 2 9" xfId="45" xr:uid="{00000000-0005-0000-0000-000045000000}"/>
    <cellStyle name="Процентный 3" xfId="46" xr:uid="{00000000-0005-0000-0000-000046000000}"/>
    <cellStyle name="Процентный 3 2" xfId="49" xr:uid="{00000000-0005-0000-0000-000047000000}"/>
    <cellStyle name="Финансовый 2" xfId="48" xr:uid="{00000000-0005-0000-0000-000049000000}"/>
    <cellStyle name="Финансовый 2 2" xfId="73" xr:uid="{00000000-0005-0000-0000-00004A000000}"/>
    <cellStyle name="Фінансовий" xfId="47" builtinId="3"/>
  </cellStyles>
  <dxfs count="0"/>
  <tableStyles count="0" defaultTableStyle="TableStyleMedium9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47626</xdr:rowOff>
    </xdr:from>
    <xdr:to>
      <xdr:col>3</xdr:col>
      <xdr:colOff>361950</xdr:colOff>
      <xdr:row>3</xdr:row>
      <xdr:rowOff>57149</xdr:rowOff>
    </xdr:to>
    <xdr:pic>
      <xdr:nvPicPr>
        <xdr:cNvPr id="3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1" y="47626"/>
          <a:ext cx="1781174" cy="5905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>
    <tabColor rgb="FF00B0F0"/>
    <pageSetUpPr fitToPage="1"/>
  </sheetPr>
  <dimension ref="A1:AC102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Col="1" x14ac:dyDescent="0.2"/>
  <cols>
    <col min="1" max="1" width="2.42578125" style="12" customWidth="1"/>
    <col min="2" max="2" width="9" style="4" customWidth="1"/>
    <col min="3" max="3" width="10.140625" style="4" customWidth="1"/>
    <col min="4" max="4" width="19.42578125" style="4" bestFit="1" customWidth="1"/>
    <col min="5" max="5" width="28.85546875" style="4" customWidth="1"/>
    <col min="6" max="6" width="20.7109375" style="4" bestFit="1" customWidth="1"/>
    <col min="7" max="7" width="14.42578125" style="41" customWidth="1"/>
    <col min="8" max="8" width="11.42578125" style="36" customWidth="1"/>
    <col min="9" max="9" width="13.42578125" customWidth="1"/>
    <col min="10" max="10" width="0.140625" style="3" customWidth="1"/>
    <col min="11" max="11" width="34.140625" style="4" hidden="1" customWidth="1" outlineLevel="1"/>
    <col min="12" max="12" width="29.7109375" style="4" hidden="1" customWidth="1" outlineLevel="1"/>
    <col min="13" max="13" width="18.7109375" style="96" customWidth="1" collapsed="1"/>
    <col min="14" max="14" width="17.140625" style="96" customWidth="1"/>
    <col min="15" max="29" width="9.140625" style="96"/>
    <col min="30" max="16384" width="9.140625" style="4"/>
  </cols>
  <sheetData>
    <row r="1" spans="1:14" ht="19.899999999999999" customHeight="1" thickBot="1" x14ac:dyDescent="0.25">
      <c r="A1" s="49"/>
      <c r="B1" s="50"/>
      <c r="C1" s="50"/>
      <c r="D1" s="50"/>
      <c r="E1" s="98"/>
      <c r="F1" s="98"/>
      <c r="G1" s="89"/>
      <c r="H1" s="175" t="s">
        <v>37</v>
      </c>
      <c r="I1" s="175"/>
    </row>
    <row r="2" spans="1:14" ht="12.75" customHeight="1" x14ac:dyDescent="0.2">
      <c r="A2" s="2"/>
      <c r="B2" s="50"/>
      <c r="C2" s="50"/>
      <c r="D2" s="50"/>
      <c r="E2" s="108">
        <f>VLOOKUP('Зустрічна пропозиція'!H2,Лист2!A:O,14,FALSE)</f>
        <v>0</v>
      </c>
      <c r="F2" s="99">
        <f>VLOOKUP(H$2,Лист2!$A:$H,2,0)</f>
        <v>500000</v>
      </c>
      <c r="G2" s="116">
        <f ca="1">TODAY()</f>
        <v>45915</v>
      </c>
      <c r="H2" s="176" t="s">
        <v>50</v>
      </c>
      <c r="I2" s="177"/>
      <c r="J2" s="42"/>
      <c r="M2" s="127"/>
      <c r="N2" s="127"/>
    </row>
    <row r="3" spans="1:14" ht="13.7" customHeight="1" thickBot="1" x14ac:dyDescent="0.25">
      <c r="A3" s="2"/>
      <c r="B3" s="50"/>
      <c r="C3" s="50"/>
      <c r="D3" s="50"/>
      <c r="E3" s="109">
        <f>IF(F5&lt;E2,"x",IF(F9&gt;F2,"y",F9))</f>
        <v>80000</v>
      </c>
      <c r="F3" s="178" t="str">
        <f>IF(E3="x","Збільшіть суму",IF(E3="y","Зменшіть суму",""))</f>
        <v/>
      </c>
      <c r="G3" s="57">
        <f>Назви!B37</f>
        <v>30.4</v>
      </c>
      <c r="H3" s="179" t="str">
        <f>VLOOKUP(H$2,Лист2!$A:$H,8,0)</f>
        <v>max. 500000 грн.</v>
      </c>
      <c r="I3" s="180"/>
      <c r="J3" s="42"/>
    </row>
    <row r="4" spans="1:14" ht="9" customHeight="1" thickBot="1" x14ac:dyDescent="0.25">
      <c r="A4" s="2"/>
      <c r="B4" s="2"/>
      <c r="C4" s="2"/>
      <c r="D4" s="2"/>
      <c r="E4" s="108"/>
      <c r="F4" s="178"/>
      <c r="G4" s="35"/>
      <c r="H4" s="119"/>
      <c r="I4" s="42"/>
      <c r="J4" s="42"/>
      <c r="K4" s="54"/>
    </row>
    <row r="5" spans="1:14" ht="21" customHeight="1" thickBot="1" x14ac:dyDescent="0.25">
      <c r="A5" s="1"/>
      <c r="B5" s="181" t="s">
        <v>43</v>
      </c>
      <c r="C5" s="182"/>
      <c r="D5" s="182"/>
      <c r="E5" s="183"/>
      <c r="F5" s="131">
        <v>50000</v>
      </c>
      <c r="G5" s="129" t="s">
        <v>22</v>
      </c>
      <c r="H5" s="130"/>
      <c r="I5" s="3"/>
      <c r="J5" s="43"/>
      <c r="K5" s="54"/>
    </row>
    <row r="6" spans="1:14" ht="7.5" customHeight="1" thickBot="1" x14ac:dyDescent="0.25">
      <c r="A6" s="1"/>
      <c r="B6" s="5"/>
      <c r="C6" s="2"/>
      <c r="D6" s="5"/>
      <c r="E6" s="2"/>
      <c r="F6" s="6"/>
      <c r="G6" s="36"/>
      <c r="H6" s="35"/>
      <c r="I6" s="2"/>
      <c r="J6" s="44"/>
      <c r="K6" s="54"/>
    </row>
    <row r="7" spans="1:14" ht="19.5" customHeight="1" thickBot="1" x14ac:dyDescent="0.25">
      <c r="A7" s="1"/>
      <c r="B7" s="181" t="s">
        <v>47</v>
      </c>
      <c r="C7" s="182"/>
      <c r="D7" s="182"/>
      <c r="E7" s="183"/>
      <c r="F7" s="131">
        <v>30000</v>
      </c>
      <c r="G7" s="36"/>
      <c r="H7" s="35"/>
      <c r="I7" s="2"/>
      <c r="J7" s="44"/>
      <c r="K7" s="54"/>
    </row>
    <row r="8" spans="1:14" ht="11.25" customHeight="1" thickBot="1" x14ac:dyDescent="0.25">
      <c r="A8" s="1"/>
      <c r="B8" s="140"/>
      <c r="C8" s="141"/>
      <c r="D8" s="141"/>
      <c r="E8" s="142"/>
      <c r="F8" s="143"/>
      <c r="G8" s="64"/>
      <c r="H8" s="35"/>
      <c r="I8" s="2"/>
      <c r="J8" s="44"/>
      <c r="K8" s="54"/>
    </row>
    <row r="9" spans="1:14" ht="20.25" customHeight="1" thickBot="1" x14ac:dyDescent="0.3">
      <c r="A9" s="1"/>
      <c r="B9" s="151" t="s">
        <v>44</v>
      </c>
      <c r="C9" s="152"/>
      <c r="D9" s="152"/>
      <c r="E9" s="153"/>
      <c r="F9" s="146">
        <f>F5+F7</f>
        <v>80000</v>
      </c>
      <c r="G9" s="36"/>
      <c r="H9" s="35"/>
      <c r="I9" s="2"/>
      <c r="J9" s="44"/>
      <c r="K9" s="54"/>
    </row>
    <row r="10" spans="1:14" s="4" customFormat="1" ht="13.9" customHeight="1" thickBot="1" x14ac:dyDescent="0.25">
      <c r="A10" s="12"/>
      <c r="B10" s="47"/>
      <c r="C10" s="47"/>
      <c r="D10" s="47"/>
      <c r="E10" s="47"/>
      <c r="F10" s="73"/>
      <c r="G10" s="64"/>
      <c r="H10" s="41"/>
      <c r="J10" s="44"/>
      <c r="K10" s="54"/>
    </row>
    <row r="11" spans="1:14" ht="21.75" customHeight="1" thickBot="1" x14ac:dyDescent="0.25">
      <c r="A11" s="1"/>
      <c r="B11" s="151" t="str">
        <f>Назви!A3</f>
        <v>Середньозважена процентна ставка, % річних</v>
      </c>
      <c r="C11" s="152"/>
      <c r="D11" s="152"/>
      <c r="E11" s="153"/>
      <c r="F11" s="145">
        <f>(F5*F13+F7*F15)/F9</f>
        <v>0.48749999999999999</v>
      </c>
      <c r="G11" s="36"/>
      <c r="H11" s="35"/>
      <c r="I11" s="2"/>
      <c r="J11" s="44"/>
      <c r="K11" s="54"/>
    </row>
    <row r="12" spans="1:14" x14ac:dyDescent="0.2">
      <c r="A12" s="1"/>
      <c r="B12" s="5"/>
      <c r="C12" s="2"/>
      <c r="D12" s="5"/>
      <c r="E12" s="2"/>
      <c r="F12" s="115">
        <f>F9-D35</f>
        <v>79671.907541848646</v>
      </c>
      <c r="G12" s="36"/>
      <c r="H12" s="35"/>
      <c r="I12" s="2"/>
      <c r="J12" s="44"/>
      <c r="K12" s="54"/>
    </row>
    <row r="13" spans="1:14" x14ac:dyDescent="0.2">
      <c r="A13" s="1"/>
      <c r="B13" s="169" t="str">
        <f>Назви!A5</f>
        <v>Процентна ставка (для кредитів інших банків), % річних</v>
      </c>
      <c r="C13" s="170">
        <f>Назви!B5</f>
        <v>0</v>
      </c>
      <c r="D13" s="170">
        <f>Назви!C5</f>
        <v>0</v>
      </c>
      <c r="E13" s="171">
        <f>Назви!D5</f>
        <v>0</v>
      </c>
      <c r="F13" s="32">
        <f>VLOOKUP(H$2,Лист2!$A:$H,4,0)</f>
        <v>0.39</v>
      </c>
      <c r="G13" s="161"/>
      <c r="H13" s="161"/>
      <c r="I13" s="3"/>
      <c r="J13" s="43"/>
      <c r="K13" s="54"/>
    </row>
    <row r="14" spans="1:14" x14ac:dyDescent="0.2">
      <c r="A14" s="1"/>
      <c r="B14" s="1"/>
      <c r="C14" s="1"/>
      <c r="D14" s="1"/>
      <c r="E14" s="1"/>
      <c r="F14" s="1"/>
      <c r="G14" s="121"/>
      <c r="H14" s="121"/>
      <c r="I14" s="3"/>
      <c r="J14" s="43"/>
      <c r="K14" s="54"/>
    </row>
    <row r="15" spans="1:14" x14ac:dyDescent="0.2">
      <c r="A15" s="1"/>
      <c r="B15" s="169" t="str">
        <f>Назви!A7</f>
        <v>Процентна ставка (для кредитів Ідея/сума на руки), % річних</v>
      </c>
      <c r="C15" s="170">
        <f>Назви!B9</f>
        <v>0</v>
      </c>
      <c r="D15" s="170">
        <f>Назви!C9</f>
        <v>0</v>
      </c>
      <c r="E15" s="171">
        <f>Назви!D9</f>
        <v>0</v>
      </c>
      <c r="F15" s="32">
        <f>VLOOKUP(H$2,Лист2!$A:$H,5,0)</f>
        <v>0.65</v>
      </c>
      <c r="G15" s="121"/>
      <c r="H15" s="121"/>
      <c r="I15" s="3"/>
      <c r="J15" s="43"/>
      <c r="K15" s="54"/>
    </row>
    <row r="16" spans="1:14" x14ac:dyDescent="0.2">
      <c r="A16" s="1"/>
      <c r="B16" s="5"/>
      <c r="C16" s="2"/>
      <c r="D16" s="5"/>
      <c r="E16" s="2"/>
      <c r="F16" s="90">
        <v>1.0000000000000001E-5</v>
      </c>
      <c r="G16" s="36"/>
      <c r="H16" s="35"/>
      <c r="I16" s="2"/>
      <c r="J16" s="44"/>
      <c r="K16" s="54"/>
    </row>
    <row r="17" spans="1:29" ht="12.6" customHeight="1" x14ac:dyDescent="0.2">
      <c r="A17" s="1"/>
      <c r="B17" s="169" t="str">
        <f>Назви!A9</f>
        <v>Разовий страховий тариф, %</v>
      </c>
      <c r="C17" s="170">
        <f>Назви!B9</f>
        <v>0</v>
      </c>
      <c r="D17" s="170">
        <f>Назви!C9</f>
        <v>0</v>
      </c>
      <c r="E17" s="171">
        <f>Назви!D9</f>
        <v>0</v>
      </c>
      <c r="F17" s="32">
        <f>VLOOKUP(H$2,Лист2!$A:$H,6,0)</f>
        <v>0</v>
      </c>
      <c r="G17" s="161"/>
      <c r="H17" s="161"/>
      <c r="I17" s="3"/>
      <c r="J17" s="43"/>
      <c r="K17" s="113"/>
    </row>
    <row r="18" spans="1:29" ht="6.6" customHeight="1" x14ac:dyDescent="0.2">
      <c r="A18" s="1"/>
      <c r="B18" s="5"/>
      <c r="C18" s="2"/>
      <c r="D18" s="5"/>
      <c r="E18" s="2"/>
      <c r="F18" s="37"/>
      <c r="G18" s="36"/>
      <c r="H18" s="35"/>
      <c r="I18" s="2"/>
      <c r="J18" s="44"/>
      <c r="K18" s="113"/>
    </row>
    <row r="19" spans="1:29" x14ac:dyDescent="0.2">
      <c r="A19" s="1"/>
      <c r="B19" s="169" t="str">
        <f>Назви!A11</f>
        <v xml:space="preserve">Щомісячна плата за обслуговування кредитної заборгованості, % </v>
      </c>
      <c r="C19" s="170">
        <f>Назви!B11</f>
        <v>0</v>
      </c>
      <c r="D19" s="170">
        <f>Назви!C11</f>
        <v>0</v>
      </c>
      <c r="E19" s="171">
        <f>Назви!D11</f>
        <v>0</v>
      </c>
      <c r="F19" s="32">
        <f>VLOOKUP(H$2,Лист2!$A:$H,7,0)</f>
        <v>0</v>
      </c>
      <c r="G19" s="161"/>
      <c r="H19" s="161"/>
      <c r="I19" s="3"/>
      <c r="J19" s="43"/>
      <c r="K19" s="113"/>
    </row>
    <row r="20" spans="1:29" ht="6.75" customHeight="1" x14ac:dyDescent="0.2">
      <c r="A20" s="1"/>
      <c r="B20" s="5"/>
      <c r="C20" s="2"/>
      <c r="D20" s="5"/>
      <c r="E20" s="2"/>
      <c r="F20" s="9"/>
      <c r="G20" s="36"/>
      <c r="H20" s="35"/>
      <c r="I20" s="2"/>
      <c r="J20" s="44"/>
      <c r="K20" s="113"/>
    </row>
    <row r="21" spans="1:29" x14ac:dyDescent="0.2">
      <c r="A21" s="1"/>
      <c r="B21" s="169" t="str">
        <f>Назви!A13</f>
        <v>Термін кредитування (міс.)</v>
      </c>
      <c r="C21" s="170">
        <f>Назви!B13</f>
        <v>0</v>
      </c>
      <c r="D21" s="170">
        <f>Назви!C13</f>
        <v>0</v>
      </c>
      <c r="E21" s="171">
        <f>Назви!D13</f>
        <v>0</v>
      </c>
      <c r="F21" s="53">
        <f>VLOOKUP(H$2,Лист2!$A:$H,3,0)</f>
        <v>60</v>
      </c>
      <c r="G21" s="161"/>
      <c r="H21" s="161"/>
      <c r="I21" s="3"/>
      <c r="J21" s="43"/>
      <c r="K21" s="113"/>
    </row>
    <row r="22" spans="1:29" s="12" customFormat="1" ht="7.9" customHeight="1" x14ac:dyDescent="0.2">
      <c r="A22" s="1"/>
      <c r="B22" s="10"/>
      <c r="C22" s="48"/>
      <c r="D22" s="93"/>
      <c r="E22" s="114">
        <f>F5*F17</f>
        <v>0</v>
      </c>
      <c r="F22" s="50"/>
      <c r="G22" s="95"/>
      <c r="H22" s="11"/>
      <c r="I22" s="1"/>
      <c r="J22" s="44"/>
      <c r="K22" s="113" t="str">
        <f>Лист2!A4</f>
        <v xml:space="preserve">Зустрічна пропозиція, 60 міс. </v>
      </c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</row>
    <row r="23" spans="1:29" s="12" customFormat="1" ht="11.25" customHeight="1" x14ac:dyDescent="0.2">
      <c r="A23" s="1"/>
      <c r="B23" s="10"/>
      <c r="C23" s="48"/>
      <c r="D23" s="93"/>
      <c r="E23" s="115">
        <f>E22+E3</f>
        <v>80000</v>
      </c>
      <c r="F23" s="50"/>
      <c r="G23" s="95"/>
      <c r="H23" s="11"/>
      <c r="I23" s="1"/>
      <c r="J23" s="98"/>
      <c r="K23" s="113" t="str">
        <f>Лист2!A5</f>
        <v xml:space="preserve">Зустрічна пропозиція, 48 міс. </v>
      </c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</row>
    <row r="24" spans="1:29" s="12" customFormat="1" x14ac:dyDescent="0.2">
      <c r="A24" s="1"/>
      <c r="B24" s="158" t="str">
        <f>Назви!A16</f>
        <v>Орієнтовний платіж, грн.</v>
      </c>
      <c r="C24" s="159">
        <f>Назви!B16</f>
        <v>0</v>
      </c>
      <c r="D24" s="159">
        <f>Назви!C16</f>
        <v>0</v>
      </c>
      <c r="E24" s="160">
        <f>Назви!D16</f>
        <v>0</v>
      </c>
      <c r="F24" s="13">
        <f>PMT(F11/12,F21,-F9)+F19*F9</f>
        <v>3578.0924581513541</v>
      </c>
      <c r="G24" s="172"/>
      <c r="H24" s="173"/>
      <c r="I24" s="104"/>
      <c r="J24" s="44"/>
      <c r="K24" s="113" t="str">
        <f>Лист2!A6</f>
        <v xml:space="preserve">Зустрічна пропозиція, 36 міс. </v>
      </c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</row>
    <row r="25" spans="1:29" s="12" customFormat="1" ht="7.15" customHeight="1" x14ac:dyDescent="0.2">
      <c r="A25" s="1"/>
      <c r="B25" s="15"/>
      <c r="C25" s="15"/>
      <c r="D25" s="15"/>
      <c r="E25" s="15"/>
      <c r="F25" s="16"/>
      <c r="G25" s="17"/>
      <c r="H25" s="18"/>
      <c r="I25" s="1"/>
      <c r="J25" s="45"/>
      <c r="K25" s="113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</row>
    <row r="26" spans="1:29" s="12" customFormat="1" x14ac:dyDescent="0.2">
      <c r="A26" s="1"/>
      <c r="B26" s="158" t="str">
        <f>Назви!A18</f>
        <v>Орієнтовні загальні витрати за кредитом, грн.</v>
      </c>
      <c r="C26" s="159">
        <f>Назви!B18</f>
        <v>0</v>
      </c>
      <c r="D26" s="159">
        <f>Назви!C18</f>
        <v>0</v>
      </c>
      <c r="E26" s="160">
        <f>Назви!D18</f>
        <v>0</v>
      </c>
      <c r="F26" s="13">
        <f>F95-E3</f>
        <v>134685.54748908128</v>
      </c>
      <c r="G26" s="174"/>
      <c r="H26" s="174"/>
      <c r="I26" s="1"/>
      <c r="J26" s="45"/>
      <c r="K26" s="113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</row>
    <row r="27" spans="1:29" s="12" customFormat="1" ht="7.15" customHeight="1" x14ac:dyDescent="0.2">
      <c r="A27" s="1"/>
      <c r="B27" s="19"/>
      <c r="C27" s="19"/>
      <c r="D27" s="19"/>
      <c r="E27" s="19"/>
      <c r="F27" s="20"/>
      <c r="G27" s="17"/>
      <c r="H27" s="18"/>
      <c r="I27" s="1"/>
      <c r="J27" s="45"/>
      <c r="K27" s="113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</row>
    <row r="28" spans="1:29" s="12" customFormat="1" x14ac:dyDescent="0.2">
      <c r="A28" s="1"/>
      <c r="B28" s="158" t="str">
        <f>Назви!A20</f>
        <v>Орієнтовна загальна вартість кредиту, грн.</v>
      </c>
      <c r="C28" s="159">
        <f>Назви!B20</f>
        <v>0</v>
      </c>
      <c r="D28" s="159">
        <f>Назви!C20</f>
        <v>0</v>
      </c>
      <c r="E28" s="160">
        <f>Назви!D20</f>
        <v>0</v>
      </c>
      <c r="F28" s="13">
        <f>F9+F26</f>
        <v>214685.54748908128</v>
      </c>
      <c r="G28" s="161"/>
      <c r="H28" s="161"/>
      <c r="I28" s="1"/>
      <c r="J28" s="45"/>
      <c r="K28" s="113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</row>
    <row r="29" spans="1:29" s="12" customFormat="1" ht="7.15" customHeight="1" x14ac:dyDescent="0.2">
      <c r="A29" s="1"/>
      <c r="B29" s="15"/>
      <c r="C29" s="15"/>
      <c r="D29" s="15"/>
      <c r="E29" s="15"/>
      <c r="F29" s="9"/>
      <c r="G29" s="17"/>
      <c r="H29" s="18"/>
      <c r="I29" s="1"/>
      <c r="J29" s="1"/>
      <c r="K29" s="113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</row>
    <row r="30" spans="1:29" s="12" customFormat="1" x14ac:dyDescent="0.2">
      <c r="A30" s="1"/>
      <c r="B30" s="158" t="str">
        <f>Назви!A22</f>
        <v>Реальна річна процентна ставка, %</v>
      </c>
      <c r="C30" s="159"/>
      <c r="D30" s="159"/>
      <c r="E30" s="160"/>
      <c r="F30" s="32">
        <f ca="1">XIRR(F34:F94,C34:C94)</f>
        <v>0.6128471553325654</v>
      </c>
      <c r="G30" s="17"/>
      <c r="H30" s="18"/>
      <c r="I30" s="1"/>
      <c r="J30" s="1"/>
      <c r="K30" s="113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</row>
    <row r="31" spans="1:29" s="12" customFormat="1" ht="13.5" thickBot="1" x14ac:dyDescent="0.25">
      <c r="A31" s="1"/>
      <c r="B31" s="24"/>
      <c r="C31" s="15"/>
      <c r="D31" s="102"/>
      <c r="E31" s="25"/>
      <c r="F31" s="26"/>
      <c r="G31" s="18"/>
      <c r="H31" s="17"/>
      <c r="I31" s="1"/>
      <c r="J31" s="1"/>
      <c r="K31" s="113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</row>
    <row r="32" spans="1:29" ht="18.75" thickBot="1" x14ac:dyDescent="0.25">
      <c r="A32" s="1"/>
      <c r="B32" s="166" t="str">
        <f>Назви!A31</f>
        <v>Орієнтовний порядок повернення кредиту</v>
      </c>
      <c r="C32" s="167"/>
      <c r="D32" s="167"/>
      <c r="E32" s="167"/>
      <c r="F32" s="167"/>
      <c r="G32" s="168"/>
      <c r="H32" s="3"/>
      <c r="I32" s="3"/>
      <c r="K32" s="113"/>
    </row>
    <row r="33" spans="1:29" ht="31.15" customHeight="1" thickBot="1" x14ac:dyDescent="0.25">
      <c r="A33" s="1"/>
      <c r="B33" s="117" t="s">
        <v>36</v>
      </c>
      <c r="C33" s="117" t="str">
        <f>Назви!A32</f>
        <v>Місяць</v>
      </c>
      <c r="D33" s="94" t="str">
        <f>Назви!C32</f>
        <v>Погашення суми кредиту, грн.</v>
      </c>
      <c r="E33" s="94" t="str">
        <f>Назви!E32</f>
        <v>Проценти за користування кредитом, грн.</v>
      </c>
      <c r="F33" s="162" t="str">
        <f>Назви!F32</f>
        <v>Сума платежу за розрахунковий період, грн.</v>
      </c>
      <c r="G33" s="163"/>
      <c r="H33" s="3"/>
      <c r="I33" s="3"/>
      <c r="J33" s="113" t="e">
        <f>Лист2!#REF!</f>
        <v>#REF!</v>
      </c>
      <c r="K33" s="113"/>
      <c r="L33" s="96"/>
      <c r="AC33" s="4"/>
    </row>
    <row r="34" spans="1:29" ht="12.6" hidden="1" customHeight="1" thickBot="1" x14ac:dyDescent="0.25">
      <c r="A34" s="1"/>
      <c r="B34" s="91">
        <v>0</v>
      </c>
      <c r="C34" s="118">
        <f ca="1">TODAY()</f>
        <v>45915</v>
      </c>
      <c r="D34" s="92"/>
      <c r="E34" s="92"/>
      <c r="F34" s="164">
        <f>-1*E3</f>
        <v>-80000</v>
      </c>
      <c r="G34" s="165"/>
      <c r="H34" s="3"/>
      <c r="I34" s="3"/>
      <c r="J34" s="113" t="e">
        <f>Лист2!#REF!</f>
        <v>#REF!</v>
      </c>
      <c r="K34" s="113"/>
      <c r="L34" s="96"/>
      <c r="AC34" s="4"/>
    </row>
    <row r="35" spans="1:29" ht="13.5" thickBot="1" x14ac:dyDescent="0.25">
      <c r="A35" s="1">
        <v>1</v>
      </c>
      <c r="B35" s="101">
        <v>1</v>
      </c>
      <c r="C35" s="107">
        <f ca="1">DATE(YEAR(C34),MONTH(C34)+1,DAY(C34))</f>
        <v>45945</v>
      </c>
      <c r="D35" s="124">
        <f>IFERROR(PPMT($F$11/12,B35,$F$21,-$F$9),0)</f>
        <v>328.09245815135381</v>
      </c>
      <c r="E35" s="125">
        <f>IFERROR(IPMT($F$11/12,B35,$F$21,-$F$9),0)</f>
        <v>3250</v>
      </c>
      <c r="F35" s="149">
        <f t="shared" ref="F35:F66" si="0">SUM(D35:E35)</f>
        <v>3578.0924581513536</v>
      </c>
      <c r="G35" s="149"/>
      <c r="H35" s="3"/>
      <c r="I35" s="3"/>
      <c r="J35" s="113" t="e">
        <f>Лист2!#REF!</f>
        <v>#REF!</v>
      </c>
      <c r="K35" s="113"/>
      <c r="L35" s="96"/>
      <c r="AC35" s="4"/>
    </row>
    <row r="36" spans="1:29" ht="13.5" thickBot="1" x14ac:dyDescent="0.25">
      <c r="A36" s="1">
        <v>2</v>
      </c>
      <c r="B36" s="100">
        <v>2</v>
      </c>
      <c r="C36" s="103">
        <f t="shared" ref="C36:C94" ca="1" si="1">DATE(YEAR(C35),MONTH(C35)+1,DAY(C35))</f>
        <v>45976</v>
      </c>
      <c r="D36" s="126">
        <f t="shared" ref="D36:D94" si="2">IFERROR(PPMT($F$11/12,B36,$F$21,-$F$9),0)</f>
        <v>341.42121426375257</v>
      </c>
      <c r="E36" s="125">
        <f t="shared" ref="E36:E94" si="3">IFERROR(IPMT($F$11/12,B36,$F$21,-$F$9),0)</f>
        <v>3236.6712438876016</v>
      </c>
      <c r="F36" s="149">
        <f t="shared" si="0"/>
        <v>3578.0924581513541</v>
      </c>
      <c r="G36" s="149"/>
      <c r="H36" s="3"/>
      <c r="I36" s="3"/>
      <c r="J36" s="113" t="e">
        <f>Лист2!#REF!</f>
        <v>#REF!</v>
      </c>
      <c r="K36" s="132"/>
      <c r="L36" s="96"/>
      <c r="AC36" s="4"/>
    </row>
    <row r="37" spans="1:29" ht="13.5" thickBot="1" x14ac:dyDescent="0.25">
      <c r="A37" s="1">
        <v>3</v>
      </c>
      <c r="B37" s="100">
        <v>3</v>
      </c>
      <c r="C37" s="103">
        <f t="shared" ca="1" si="1"/>
        <v>46006</v>
      </c>
      <c r="D37" s="126">
        <f t="shared" si="2"/>
        <v>355.29145109321763</v>
      </c>
      <c r="E37" s="125">
        <f t="shared" si="3"/>
        <v>3222.8010070581363</v>
      </c>
      <c r="F37" s="149">
        <f t="shared" si="0"/>
        <v>3578.0924581513541</v>
      </c>
      <c r="G37" s="149"/>
      <c r="H37" s="3"/>
      <c r="I37" s="3"/>
      <c r="J37" s="113" t="e">
        <f>Лист2!#REF!</f>
        <v>#REF!</v>
      </c>
      <c r="K37" s="113"/>
      <c r="L37" s="96"/>
      <c r="AC37" s="4"/>
    </row>
    <row r="38" spans="1:29" ht="13.5" thickBot="1" x14ac:dyDescent="0.25">
      <c r="A38" s="1">
        <v>4</v>
      </c>
      <c r="B38" s="100">
        <v>4</v>
      </c>
      <c r="C38" s="103">
        <f t="shared" ca="1" si="1"/>
        <v>46037</v>
      </c>
      <c r="D38" s="126">
        <f t="shared" si="2"/>
        <v>369.72516629387957</v>
      </c>
      <c r="E38" s="125">
        <f t="shared" si="3"/>
        <v>3208.3672918574744</v>
      </c>
      <c r="F38" s="149">
        <f t="shared" si="0"/>
        <v>3578.0924581513541</v>
      </c>
      <c r="G38" s="149"/>
      <c r="H38" s="3"/>
      <c r="I38" s="3"/>
      <c r="J38" s="113" t="e">
        <f>Лист2!#REF!</f>
        <v>#REF!</v>
      </c>
      <c r="K38" s="113"/>
      <c r="L38" s="96"/>
      <c r="AC38" s="4"/>
    </row>
    <row r="39" spans="1:29" ht="13.5" thickBot="1" x14ac:dyDescent="0.25">
      <c r="A39" s="1">
        <v>5</v>
      </c>
      <c r="B39" s="100">
        <v>5</v>
      </c>
      <c r="C39" s="103">
        <f t="shared" ca="1" si="1"/>
        <v>46068</v>
      </c>
      <c r="D39" s="126">
        <f t="shared" si="2"/>
        <v>384.74525117456835</v>
      </c>
      <c r="E39" s="125">
        <f t="shared" si="3"/>
        <v>3193.3472069767854</v>
      </c>
      <c r="F39" s="149">
        <f t="shared" si="0"/>
        <v>3578.0924581513536</v>
      </c>
      <c r="G39" s="149"/>
      <c r="H39" s="3"/>
      <c r="I39" s="3"/>
      <c r="J39" s="113" t="e">
        <f>Лист2!#REF!</f>
        <v>#REF!</v>
      </c>
      <c r="K39" s="113"/>
      <c r="L39" s="96"/>
      <c r="AC39" s="4"/>
    </row>
    <row r="40" spans="1:29" ht="13.5" thickBot="1" x14ac:dyDescent="0.25">
      <c r="A40" s="1">
        <v>6</v>
      </c>
      <c r="B40" s="100">
        <v>6</v>
      </c>
      <c r="C40" s="103">
        <f t="shared" ca="1" si="1"/>
        <v>46096</v>
      </c>
      <c r="D40" s="126">
        <f t="shared" si="2"/>
        <v>400.37552700353524</v>
      </c>
      <c r="E40" s="125">
        <f t="shared" si="3"/>
        <v>3177.7169311478187</v>
      </c>
      <c r="F40" s="149">
        <f t="shared" si="0"/>
        <v>3578.0924581513541</v>
      </c>
      <c r="G40" s="149"/>
      <c r="H40" s="3"/>
      <c r="I40" s="3"/>
      <c r="J40" s="113" t="e">
        <f>Лист2!#REF!</f>
        <v>#REF!</v>
      </c>
      <c r="K40" s="113"/>
      <c r="L40" s="96"/>
      <c r="AC40" s="4"/>
    </row>
    <row r="41" spans="1:29" ht="13.5" thickBot="1" x14ac:dyDescent="0.25">
      <c r="A41" s="1">
        <v>7</v>
      </c>
      <c r="B41" s="100">
        <v>7</v>
      </c>
      <c r="C41" s="103">
        <f t="shared" ca="1" si="1"/>
        <v>46127</v>
      </c>
      <c r="D41" s="126">
        <f t="shared" si="2"/>
        <v>416.64078278805385</v>
      </c>
      <c r="E41" s="125">
        <f t="shared" si="3"/>
        <v>3161.4516753633002</v>
      </c>
      <c r="F41" s="149">
        <f t="shared" si="0"/>
        <v>3578.0924581513541</v>
      </c>
      <c r="G41" s="149"/>
      <c r="H41" s="3"/>
      <c r="I41" s="3"/>
      <c r="J41" s="113" t="e">
        <f>Лист2!#REF!</f>
        <v>#REF!</v>
      </c>
      <c r="K41" s="113"/>
      <c r="L41" s="96"/>
      <c r="AC41" s="4"/>
    </row>
    <row r="42" spans="1:29" ht="13.5" thickBot="1" x14ac:dyDescent="0.25">
      <c r="A42" s="1">
        <v>8</v>
      </c>
      <c r="B42" s="100">
        <v>8</v>
      </c>
      <c r="C42" s="103">
        <f t="shared" ca="1" si="1"/>
        <v>46157</v>
      </c>
      <c r="D42" s="126">
        <f t="shared" si="2"/>
        <v>433.56681458881849</v>
      </c>
      <c r="E42" s="125">
        <f t="shared" si="3"/>
        <v>3144.5256435625361</v>
      </c>
      <c r="F42" s="149">
        <f t="shared" si="0"/>
        <v>3578.0924581513545</v>
      </c>
      <c r="G42" s="149"/>
      <c r="H42" s="3"/>
      <c r="I42" s="3"/>
      <c r="J42" s="113" t="e">
        <f>Лист2!#REF!</f>
        <v>#REF!</v>
      </c>
      <c r="K42" s="113"/>
      <c r="L42" s="96"/>
      <c r="AC42" s="4"/>
    </row>
    <row r="43" spans="1:29" ht="13.5" thickBot="1" x14ac:dyDescent="0.25">
      <c r="A43" s="1">
        <v>9</v>
      </c>
      <c r="B43" s="100">
        <v>9</v>
      </c>
      <c r="C43" s="103">
        <f t="shared" ca="1" si="1"/>
        <v>46188</v>
      </c>
      <c r="D43" s="126">
        <f t="shared" si="2"/>
        <v>451.18046643148938</v>
      </c>
      <c r="E43" s="125">
        <f t="shared" si="3"/>
        <v>3126.9119917198645</v>
      </c>
      <c r="F43" s="149">
        <f t="shared" si="0"/>
        <v>3578.0924581513541</v>
      </c>
      <c r="G43" s="149"/>
      <c r="H43" s="3"/>
      <c r="I43" s="3"/>
      <c r="J43" s="113" t="e">
        <f>Лист2!#REF!</f>
        <v>#REF!</v>
      </c>
      <c r="K43" s="113"/>
      <c r="L43" s="96"/>
      <c r="AC43" s="4"/>
    </row>
    <row r="44" spans="1:29" ht="13.5" thickBot="1" x14ac:dyDescent="0.25">
      <c r="A44" s="1">
        <v>10</v>
      </c>
      <c r="B44" s="100">
        <v>10</v>
      </c>
      <c r="C44" s="103">
        <f t="shared" ca="1" si="1"/>
        <v>46218</v>
      </c>
      <c r="D44" s="126">
        <f t="shared" si="2"/>
        <v>469.50967288026851</v>
      </c>
      <c r="E44" s="125">
        <f t="shared" si="3"/>
        <v>3108.5827852710854</v>
      </c>
      <c r="F44" s="149">
        <f t="shared" si="0"/>
        <v>3578.0924581513541</v>
      </c>
      <c r="G44" s="149"/>
      <c r="H44" s="3"/>
      <c r="I44" s="3"/>
      <c r="J44" s="113" t="e">
        <f>Лист2!#REF!</f>
        <v>#REF!</v>
      </c>
      <c r="K44" s="113"/>
      <c r="L44" s="96"/>
      <c r="AC44" s="4"/>
    </row>
    <row r="45" spans="1:29" ht="13.5" thickBot="1" x14ac:dyDescent="0.25">
      <c r="A45" s="1">
        <v>22</v>
      </c>
      <c r="B45" s="100">
        <v>11</v>
      </c>
      <c r="C45" s="103">
        <f t="shared" ca="1" si="1"/>
        <v>46249</v>
      </c>
      <c r="D45" s="126">
        <f t="shared" si="2"/>
        <v>488.58350334102943</v>
      </c>
      <c r="E45" s="125">
        <f t="shared" si="3"/>
        <v>3089.5089548103242</v>
      </c>
      <c r="F45" s="149">
        <f t="shared" si="0"/>
        <v>3578.0924581513536</v>
      </c>
      <c r="G45" s="149"/>
      <c r="H45" s="3"/>
      <c r="I45" s="3"/>
      <c r="J45" s="113" t="e">
        <f>Лист2!#REF!</f>
        <v>#REF!</v>
      </c>
      <c r="K45" s="113"/>
      <c r="L45" s="96"/>
      <c r="AC45" s="4"/>
    </row>
    <row r="46" spans="1:29" ht="13.5" thickBot="1" x14ac:dyDescent="0.25">
      <c r="A46" s="1">
        <v>22</v>
      </c>
      <c r="B46" s="100">
        <v>12</v>
      </c>
      <c r="C46" s="103">
        <f t="shared" ca="1" si="1"/>
        <v>46280</v>
      </c>
      <c r="D46" s="126">
        <f t="shared" si="2"/>
        <v>508.43220816425878</v>
      </c>
      <c r="E46" s="125">
        <f t="shared" si="3"/>
        <v>3069.6602499870951</v>
      </c>
      <c r="F46" s="149">
        <f t="shared" si="0"/>
        <v>3578.0924581513536</v>
      </c>
      <c r="G46" s="149"/>
      <c r="H46" s="3"/>
      <c r="I46" s="3"/>
      <c r="J46" s="113" t="e">
        <f>Лист2!#REF!</f>
        <v>#REF!</v>
      </c>
      <c r="K46" s="113"/>
      <c r="L46" s="96"/>
      <c r="AC46" s="4"/>
    </row>
    <row r="47" spans="1:29" ht="13.5" thickBot="1" x14ac:dyDescent="0.25">
      <c r="A47" s="1">
        <v>13</v>
      </c>
      <c r="B47" s="100">
        <v>13</v>
      </c>
      <c r="C47" s="103">
        <f t="shared" ca="1" si="1"/>
        <v>46310</v>
      </c>
      <c r="D47" s="126">
        <f t="shared" si="2"/>
        <v>529.08726662093181</v>
      </c>
      <c r="E47" s="125">
        <f t="shared" si="3"/>
        <v>3049.0051915304221</v>
      </c>
      <c r="F47" s="149">
        <f t="shared" si="0"/>
        <v>3578.0924581513536</v>
      </c>
      <c r="G47" s="149"/>
      <c r="H47" s="3"/>
      <c r="I47" s="3"/>
      <c r="J47" s="113" t="e">
        <f>Лист2!#REF!</f>
        <v>#REF!</v>
      </c>
      <c r="K47" s="113"/>
      <c r="L47" s="96"/>
      <c r="AC47" s="4"/>
    </row>
    <row r="48" spans="1:29" ht="13.5" thickBot="1" x14ac:dyDescent="0.25">
      <c r="A48" s="1">
        <v>14</v>
      </c>
      <c r="B48" s="100">
        <v>14</v>
      </c>
      <c r="C48" s="103">
        <f t="shared" ca="1" si="1"/>
        <v>46341</v>
      </c>
      <c r="D48" s="126">
        <f t="shared" si="2"/>
        <v>550.58143682740717</v>
      </c>
      <c r="E48" s="125">
        <f t="shared" si="3"/>
        <v>3027.5110213239468</v>
      </c>
      <c r="F48" s="149">
        <f t="shared" si="0"/>
        <v>3578.0924581513541</v>
      </c>
      <c r="G48" s="149"/>
      <c r="H48" s="3"/>
      <c r="I48" s="3"/>
      <c r="J48" s="113" t="e">
        <f>Лист2!#REF!</f>
        <v>#REF!</v>
      </c>
      <c r="K48" s="113"/>
      <c r="L48" s="96"/>
      <c r="AC48" s="4"/>
    </row>
    <row r="49" spans="1:29" ht="13.5" thickBot="1" x14ac:dyDescent="0.25">
      <c r="A49" s="1">
        <v>15</v>
      </c>
      <c r="B49" s="100">
        <v>15</v>
      </c>
      <c r="C49" s="103">
        <f t="shared" ca="1" si="1"/>
        <v>46371</v>
      </c>
      <c r="D49" s="126">
        <f t="shared" si="2"/>
        <v>572.94880769852057</v>
      </c>
      <c r="E49" s="125">
        <f t="shared" si="3"/>
        <v>3005.1436504528338</v>
      </c>
      <c r="F49" s="149">
        <f t="shared" si="0"/>
        <v>3578.0924581513545</v>
      </c>
      <c r="G49" s="149"/>
      <c r="H49" s="3"/>
      <c r="I49" s="3"/>
      <c r="J49" s="113" t="e">
        <f>Лист2!#REF!</f>
        <v>#REF!</v>
      </c>
      <c r="K49" s="113"/>
      <c r="L49" s="96"/>
      <c r="AC49" s="4"/>
    </row>
    <row r="50" spans="1:29" ht="13.5" thickBot="1" x14ac:dyDescent="0.25">
      <c r="A50" s="1">
        <v>16</v>
      </c>
      <c r="B50" s="100">
        <v>16</v>
      </c>
      <c r="C50" s="103">
        <f t="shared" ca="1" si="1"/>
        <v>46402</v>
      </c>
      <c r="D50" s="126">
        <f t="shared" si="2"/>
        <v>596.22485301127301</v>
      </c>
      <c r="E50" s="125">
        <f t="shared" si="3"/>
        <v>2981.8676051400807</v>
      </c>
      <c r="F50" s="149">
        <f t="shared" si="0"/>
        <v>3578.0924581513536</v>
      </c>
      <c r="G50" s="149"/>
      <c r="H50" s="3"/>
      <c r="I50" s="3"/>
      <c r="J50" s="113" t="e">
        <f>Лист2!#REF!</f>
        <v>#REF!</v>
      </c>
      <c r="K50" s="113"/>
      <c r="L50" s="96"/>
      <c r="AC50" s="4"/>
    </row>
    <row r="51" spans="1:29" ht="13.5" thickBot="1" x14ac:dyDescent="0.25">
      <c r="A51" s="1">
        <v>22</v>
      </c>
      <c r="B51" s="100">
        <v>17</v>
      </c>
      <c r="C51" s="103">
        <f t="shared" ca="1" si="1"/>
        <v>46433</v>
      </c>
      <c r="D51" s="126">
        <f t="shared" si="2"/>
        <v>620.44648766485602</v>
      </c>
      <c r="E51" s="125">
        <f t="shared" si="3"/>
        <v>2957.6459704864978</v>
      </c>
      <c r="F51" s="149">
        <f t="shared" si="0"/>
        <v>3578.0924581513536</v>
      </c>
      <c r="G51" s="149"/>
      <c r="H51" s="3"/>
      <c r="I51" s="3"/>
      <c r="J51" s="113"/>
      <c r="L51" s="96"/>
      <c r="AC51" s="4"/>
    </row>
    <row r="52" spans="1:29" ht="13.5" thickBot="1" x14ac:dyDescent="0.25">
      <c r="A52" s="1">
        <v>22</v>
      </c>
      <c r="B52" s="100">
        <v>18</v>
      </c>
      <c r="C52" s="103">
        <f t="shared" ca="1" si="1"/>
        <v>46461</v>
      </c>
      <c r="D52" s="126">
        <f t="shared" si="2"/>
        <v>645.65212622624063</v>
      </c>
      <c r="E52" s="125">
        <f t="shared" si="3"/>
        <v>2932.4403319251132</v>
      </c>
      <c r="F52" s="149">
        <f t="shared" si="0"/>
        <v>3578.0924581513536</v>
      </c>
      <c r="G52" s="149"/>
      <c r="H52" s="3"/>
      <c r="I52" s="3"/>
      <c r="J52" s="113"/>
      <c r="L52" s="96"/>
      <c r="AC52" s="4"/>
    </row>
    <row r="53" spans="1:29" ht="13.5" thickBot="1" x14ac:dyDescent="0.25">
      <c r="A53" s="1">
        <v>19</v>
      </c>
      <c r="B53" s="100">
        <v>19</v>
      </c>
      <c r="C53" s="103">
        <f t="shared" ca="1" si="1"/>
        <v>46492</v>
      </c>
      <c r="D53" s="126">
        <f t="shared" si="2"/>
        <v>671.88174385418176</v>
      </c>
      <c r="E53" s="125">
        <f t="shared" si="3"/>
        <v>2906.2107142971722</v>
      </c>
      <c r="F53" s="149">
        <f t="shared" si="0"/>
        <v>3578.0924581513541</v>
      </c>
      <c r="G53" s="149"/>
      <c r="H53" s="3"/>
      <c r="I53" s="3"/>
      <c r="J53" s="113"/>
      <c r="L53" s="96"/>
      <c r="AC53" s="4"/>
    </row>
    <row r="54" spans="1:29" ht="13.5" thickBot="1" x14ac:dyDescent="0.25">
      <c r="A54" s="1">
        <v>20</v>
      </c>
      <c r="B54" s="100">
        <v>20</v>
      </c>
      <c r="C54" s="103">
        <f t="shared" ca="1" si="1"/>
        <v>46522</v>
      </c>
      <c r="D54" s="126">
        <f t="shared" si="2"/>
        <v>699.17693969825791</v>
      </c>
      <c r="E54" s="125">
        <f t="shared" si="3"/>
        <v>2878.915518453096</v>
      </c>
      <c r="F54" s="149">
        <f t="shared" si="0"/>
        <v>3578.0924581513536</v>
      </c>
      <c r="G54" s="149"/>
      <c r="H54" s="3"/>
      <c r="I54" s="3"/>
      <c r="J54" s="113"/>
      <c r="L54" s="96"/>
      <c r="AC54" s="4"/>
    </row>
    <row r="55" spans="1:29" ht="13.5" thickBot="1" x14ac:dyDescent="0.25">
      <c r="A55" s="49">
        <v>21</v>
      </c>
      <c r="B55" s="100">
        <v>21</v>
      </c>
      <c r="C55" s="103">
        <f t="shared" ca="1" si="1"/>
        <v>46553</v>
      </c>
      <c r="D55" s="126">
        <f t="shared" si="2"/>
        <v>727.58100287349953</v>
      </c>
      <c r="E55" s="125">
        <f t="shared" si="3"/>
        <v>2850.5114552778546</v>
      </c>
      <c r="F55" s="149">
        <f t="shared" si="0"/>
        <v>3578.0924581513541</v>
      </c>
      <c r="G55" s="149"/>
      <c r="H55" s="3"/>
      <c r="I55" s="3"/>
      <c r="J55" s="113"/>
      <c r="L55" s="96"/>
      <c r="AC55" s="4"/>
    </row>
    <row r="56" spans="1:29" ht="13.5" thickBot="1" x14ac:dyDescent="0.25">
      <c r="A56" s="49">
        <v>22</v>
      </c>
      <c r="B56" s="100">
        <v>22</v>
      </c>
      <c r="C56" s="103">
        <f t="shared" ca="1" si="1"/>
        <v>46583</v>
      </c>
      <c r="D56" s="126">
        <f t="shared" si="2"/>
        <v>757.13898111523554</v>
      </c>
      <c r="E56" s="125">
        <f t="shared" si="3"/>
        <v>2820.9534770361183</v>
      </c>
      <c r="F56" s="149">
        <f t="shared" si="0"/>
        <v>3578.0924581513536</v>
      </c>
      <c r="G56" s="149"/>
      <c r="H56" s="3"/>
      <c r="I56" s="3"/>
      <c r="J56" s="4"/>
      <c r="L56" s="96"/>
      <c r="AC56" s="4"/>
    </row>
    <row r="57" spans="1:29" ht="13.5" thickBot="1" x14ac:dyDescent="0.25">
      <c r="A57" s="49">
        <v>25</v>
      </c>
      <c r="B57" s="100">
        <v>23</v>
      </c>
      <c r="C57" s="103">
        <f t="shared" ca="1" si="1"/>
        <v>46614</v>
      </c>
      <c r="D57" s="126">
        <f t="shared" si="2"/>
        <v>787.89775222304183</v>
      </c>
      <c r="E57" s="125">
        <f t="shared" si="3"/>
        <v>2790.194705928312</v>
      </c>
      <c r="F57" s="149">
        <f t="shared" si="0"/>
        <v>3578.0924581513536</v>
      </c>
      <c r="G57" s="149"/>
      <c r="H57" s="3"/>
      <c r="I57" s="3"/>
      <c r="J57" s="4"/>
      <c r="L57" s="96"/>
      <c r="AC57" s="4"/>
    </row>
    <row r="58" spans="1:29" ht="13.5" thickBot="1" x14ac:dyDescent="0.25">
      <c r="A58" s="49"/>
      <c r="B58" s="100">
        <v>24</v>
      </c>
      <c r="C58" s="103">
        <f t="shared" ca="1" si="1"/>
        <v>46645</v>
      </c>
      <c r="D58" s="126">
        <f t="shared" si="2"/>
        <v>819.90609840710306</v>
      </c>
      <c r="E58" s="125">
        <f t="shared" si="3"/>
        <v>2758.1863597442507</v>
      </c>
      <c r="F58" s="149">
        <f t="shared" si="0"/>
        <v>3578.0924581513536</v>
      </c>
      <c r="G58" s="149"/>
      <c r="H58" s="3"/>
      <c r="I58" s="3"/>
      <c r="J58" s="4"/>
      <c r="L58" s="96"/>
      <c r="AC58" s="4"/>
    </row>
    <row r="59" spans="1:29" ht="13.5" thickBot="1" x14ac:dyDescent="0.25">
      <c r="A59" s="49"/>
      <c r="B59" s="100">
        <v>25</v>
      </c>
      <c r="C59" s="103">
        <f t="shared" ca="1" si="1"/>
        <v>46675</v>
      </c>
      <c r="D59" s="126">
        <f t="shared" si="2"/>
        <v>853.21478365489168</v>
      </c>
      <c r="E59" s="125">
        <f t="shared" si="3"/>
        <v>2724.8776744964625</v>
      </c>
      <c r="F59" s="149">
        <f t="shared" si="0"/>
        <v>3578.0924581513541</v>
      </c>
      <c r="G59" s="149"/>
      <c r="H59" s="3"/>
      <c r="I59" s="3"/>
      <c r="J59" s="4"/>
      <c r="L59" s="96"/>
      <c r="AC59" s="4"/>
    </row>
    <row r="60" spans="1:29" ht="13.5" thickBot="1" x14ac:dyDescent="0.25">
      <c r="A60" s="49"/>
      <c r="B60" s="100">
        <v>26</v>
      </c>
      <c r="C60" s="103">
        <f t="shared" ca="1" si="1"/>
        <v>46706</v>
      </c>
      <c r="D60" s="126">
        <f t="shared" si="2"/>
        <v>887.87663424087157</v>
      </c>
      <c r="E60" s="125">
        <f t="shared" si="3"/>
        <v>2690.2158239104829</v>
      </c>
      <c r="F60" s="149">
        <f t="shared" si="0"/>
        <v>3578.0924581513545</v>
      </c>
      <c r="G60" s="149"/>
      <c r="H60" s="3"/>
      <c r="I60" s="3"/>
      <c r="J60" s="4"/>
      <c r="L60" s="96"/>
      <c r="AC60" s="4"/>
    </row>
    <row r="61" spans="1:29" ht="13.5" thickBot="1" x14ac:dyDescent="0.25">
      <c r="A61" s="49"/>
      <c r="B61" s="100">
        <v>27</v>
      </c>
      <c r="C61" s="103">
        <f t="shared" ca="1" si="1"/>
        <v>46736</v>
      </c>
      <c r="D61" s="126">
        <f t="shared" si="2"/>
        <v>923.94662250690703</v>
      </c>
      <c r="E61" s="125">
        <f t="shared" si="3"/>
        <v>2654.1458356444468</v>
      </c>
      <c r="F61" s="149">
        <f t="shared" si="0"/>
        <v>3578.0924581513536</v>
      </c>
      <c r="G61" s="149"/>
      <c r="H61" s="3"/>
      <c r="I61" s="3"/>
      <c r="J61" s="4"/>
      <c r="L61" s="96"/>
      <c r="AC61" s="4"/>
    </row>
    <row r="62" spans="1:29" ht="13.5" thickBot="1" x14ac:dyDescent="0.25">
      <c r="A62" s="49"/>
      <c r="B62" s="100">
        <v>28</v>
      </c>
      <c r="C62" s="103">
        <f t="shared" ca="1" si="1"/>
        <v>46767</v>
      </c>
      <c r="D62" s="126">
        <f t="shared" si="2"/>
        <v>961.48195404625005</v>
      </c>
      <c r="E62" s="125">
        <f t="shared" si="3"/>
        <v>2616.6105041051042</v>
      </c>
      <c r="F62" s="149">
        <f t="shared" si="0"/>
        <v>3578.0924581513541</v>
      </c>
      <c r="G62" s="149"/>
      <c r="H62" s="3"/>
      <c r="I62" s="3"/>
      <c r="J62" s="4"/>
      <c r="L62" s="96"/>
      <c r="AC62" s="4"/>
    </row>
    <row r="63" spans="1:29" ht="13.5" thickBot="1" x14ac:dyDescent="0.25">
      <c r="A63" s="49"/>
      <c r="B63" s="100">
        <v>29</v>
      </c>
      <c r="C63" s="103">
        <f t="shared" ca="1" si="1"/>
        <v>46798</v>
      </c>
      <c r="D63" s="126">
        <f t="shared" si="2"/>
        <v>1000.5421584293789</v>
      </c>
      <c r="E63" s="125">
        <f t="shared" si="3"/>
        <v>2577.5502997219746</v>
      </c>
      <c r="F63" s="149">
        <f t="shared" si="0"/>
        <v>3578.0924581513536</v>
      </c>
      <c r="G63" s="149"/>
      <c r="H63" s="3"/>
      <c r="I63" s="3"/>
      <c r="J63" s="4"/>
      <c r="L63" s="96"/>
      <c r="AC63" s="4"/>
    </row>
    <row r="64" spans="1:29" ht="13.5" thickBot="1" x14ac:dyDescent="0.25">
      <c r="A64" s="49">
        <v>25</v>
      </c>
      <c r="B64" s="100">
        <v>30</v>
      </c>
      <c r="C64" s="103">
        <f t="shared" ca="1" si="1"/>
        <v>46827</v>
      </c>
      <c r="D64" s="126">
        <f t="shared" si="2"/>
        <v>1041.1891836155726</v>
      </c>
      <c r="E64" s="125">
        <f t="shared" si="3"/>
        <v>2536.9032745357813</v>
      </c>
      <c r="F64" s="149">
        <f t="shared" si="0"/>
        <v>3578.0924581513536</v>
      </c>
      <c r="G64" s="149"/>
      <c r="H64" s="105"/>
      <c r="I64" s="105"/>
      <c r="J64" s="4"/>
      <c r="L64" s="96"/>
      <c r="AC64" s="4"/>
    </row>
    <row r="65" spans="1:29" ht="13.5" thickBot="1" x14ac:dyDescent="0.25">
      <c r="A65" s="49"/>
      <c r="B65" s="100">
        <v>31</v>
      </c>
      <c r="C65" s="103">
        <f t="shared" ca="1" si="1"/>
        <v>46858</v>
      </c>
      <c r="D65" s="126">
        <f t="shared" si="2"/>
        <v>1083.4874941999551</v>
      </c>
      <c r="E65" s="125">
        <f t="shared" si="3"/>
        <v>2494.6049639513985</v>
      </c>
      <c r="F65" s="149">
        <f t="shared" si="0"/>
        <v>3578.0924581513536</v>
      </c>
      <c r="G65" s="149"/>
      <c r="H65" s="105"/>
      <c r="I65" s="105"/>
      <c r="J65" s="4"/>
      <c r="L65" s="96"/>
      <c r="AC65" s="4"/>
    </row>
    <row r="66" spans="1:29" ht="13.5" thickBot="1" x14ac:dyDescent="0.25">
      <c r="A66" s="49"/>
      <c r="B66" s="100">
        <v>32</v>
      </c>
      <c r="C66" s="103">
        <f t="shared" ca="1" si="1"/>
        <v>46888</v>
      </c>
      <c r="D66" s="126">
        <f t="shared" si="2"/>
        <v>1127.5041736518285</v>
      </c>
      <c r="E66" s="125">
        <f t="shared" si="3"/>
        <v>2450.5882844995258</v>
      </c>
      <c r="F66" s="149">
        <f t="shared" si="0"/>
        <v>3578.0924581513545</v>
      </c>
      <c r="G66" s="149"/>
      <c r="H66" s="105"/>
      <c r="I66" s="105"/>
      <c r="J66" s="4"/>
      <c r="L66" s="96"/>
      <c r="AC66" s="4"/>
    </row>
    <row r="67" spans="1:29" ht="13.5" thickBot="1" x14ac:dyDescent="0.25">
      <c r="A67" s="49"/>
      <c r="B67" s="100">
        <v>33</v>
      </c>
      <c r="C67" s="103">
        <f t="shared" ca="1" si="1"/>
        <v>46919</v>
      </c>
      <c r="D67" s="126">
        <f t="shared" si="2"/>
        <v>1173.3090307064338</v>
      </c>
      <c r="E67" s="125">
        <f t="shared" si="3"/>
        <v>2404.7834274449201</v>
      </c>
      <c r="F67" s="149">
        <f t="shared" ref="F67:F94" si="4">SUM(D67:E67)</f>
        <v>3578.0924581513536</v>
      </c>
      <c r="G67" s="149"/>
      <c r="H67" s="105"/>
      <c r="I67" s="105"/>
      <c r="J67" s="4"/>
      <c r="L67" s="96"/>
      <c r="AC67" s="4"/>
    </row>
    <row r="68" spans="1:29" ht="13.5" thickBot="1" x14ac:dyDescent="0.25">
      <c r="A68" s="49"/>
      <c r="B68" s="100">
        <v>34</v>
      </c>
      <c r="C68" s="103">
        <f t="shared" ca="1" si="1"/>
        <v>46949</v>
      </c>
      <c r="D68" s="126">
        <f t="shared" si="2"/>
        <v>1220.9747100788827</v>
      </c>
      <c r="E68" s="125">
        <f t="shared" si="3"/>
        <v>2357.1177480724714</v>
      </c>
      <c r="F68" s="149">
        <f t="shared" si="4"/>
        <v>3578.0924581513541</v>
      </c>
      <c r="G68" s="149"/>
      <c r="H68" s="105"/>
      <c r="I68" s="105"/>
      <c r="J68" s="4"/>
      <c r="L68" s="96"/>
      <c r="AC68" s="4"/>
    </row>
    <row r="69" spans="1:29" ht="13.5" thickBot="1" x14ac:dyDescent="0.25">
      <c r="A69" s="49"/>
      <c r="B69" s="100">
        <v>35</v>
      </c>
      <c r="C69" s="103">
        <f t="shared" ca="1" si="1"/>
        <v>46980</v>
      </c>
      <c r="D69" s="126">
        <f t="shared" si="2"/>
        <v>1270.5768076758377</v>
      </c>
      <c r="E69" s="125">
        <f t="shared" si="3"/>
        <v>2307.5156504755164</v>
      </c>
      <c r="F69" s="149">
        <f t="shared" si="4"/>
        <v>3578.0924581513541</v>
      </c>
      <c r="G69" s="149"/>
      <c r="H69" s="105"/>
      <c r="I69" s="105"/>
      <c r="J69" s="4"/>
      <c r="L69" s="96"/>
      <c r="AC69" s="4"/>
    </row>
    <row r="70" spans="1:29" ht="13.5" thickBot="1" x14ac:dyDescent="0.25">
      <c r="A70" s="49"/>
      <c r="B70" s="100">
        <v>36</v>
      </c>
      <c r="C70" s="103">
        <f t="shared" ca="1" si="1"/>
        <v>47011</v>
      </c>
      <c r="D70" s="126">
        <f t="shared" si="2"/>
        <v>1322.1939904876683</v>
      </c>
      <c r="E70" s="125">
        <f t="shared" si="3"/>
        <v>2255.898467663686</v>
      </c>
      <c r="F70" s="149">
        <f t="shared" si="4"/>
        <v>3578.0924581513545</v>
      </c>
      <c r="G70" s="149"/>
      <c r="H70" s="105"/>
      <c r="I70" s="105"/>
      <c r="J70" s="4"/>
      <c r="L70" s="96"/>
      <c r="AC70" s="4"/>
    </row>
    <row r="71" spans="1:29" ht="13.5" thickBot="1" x14ac:dyDescent="0.25">
      <c r="A71" s="49"/>
      <c r="B71" s="100">
        <v>37</v>
      </c>
      <c r="C71" s="103">
        <f t="shared" ca="1" si="1"/>
        <v>47041</v>
      </c>
      <c r="D71" s="126">
        <f t="shared" si="2"/>
        <v>1375.9081213512302</v>
      </c>
      <c r="E71" s="125">
        <f t="shared" si="3"/>
        <v>2202.1843368001241</v>
      </c>
      <c r="F71" s="149">
        <f t="shared" si="4"/>
        <v>3578.0924581513545</v>
      </c>
      <c r="G71" s="149"/>
      <c r="H71" s="105"/>
      <c r="I71" s="105"/>
      <c r="J71" s="4"/>
      <c r="L71" s="96"/>
      <c r="AC71" s="4"/>
    </row>
    <row r="72" spans="1:29" ht="13.5" thickBot="1" x14ac:dyDescent="0.25">
      <c r="A72" s="49"/>
      <c r="B72" s="100">
        <v>38</v>
      </c>
      <c r="C72" s="103">
        <f t="shared" ca="1" si="1"/>
        <v>47072</v>
      </c>
      <c r="D72" s="126">
        <f t="shared" si="2"/>
        <v>1431.8043887811236</v>
      </c>
      <c r="E72" s="125">
        <f t="shared" si="3"/>
        <v>2146.2880693702305</v>
      </c>
      <c r="F72" s="149">
        <f t="shared" si="4"/>
        <v>3578.0924581513541</v>
      </c>
      <c r="G72" s="149"/>
      <c r="H72" s="105"/>
      <c r="I72" s="105"/>
      <c r="J72" s="4"/>
      <c r="L72" s="96"/>
      <c r="AC72" s="4"/>
    </row>
    <row r="73" spans="1:29" ht="13.5" thickBot="1" x14ac:dyDescent="0.25">
      <c r="A73" s="49"/>
      <c r="B73" s="100">
        <v>39</v>
      </c>
      <c r="C73" s="103">
        <f t="shared" ca="1" si="1"/>
        <v>47102</v>
      </c>
      <c r="D73" s="126">
        <f t="shared" si="2"/>
        <v>1489.9714420753567</v>
      </c>
      <c r="E73" s="125">
        <f t="shared" si="3"/>
        <v>2088.1210160759974</v>
      </c>
      <c r="F73" s="149">
        <f t="shared" si="4"/>
        <v>3578.0924581513541</v>
      </c>
      <c r="G73" s="149"/>
      <c r="H73" s="105"/>
      <c r="I73" s="105"/>
      <c r="J73" s="4"/>
      <c r="L73" s="96"/>
      <c r="AC73" s="4"/>
    </row>
    <row r="74" spans="1:29" ht="13.5" thickBot="1" x14ac:dyDescent="0.25">
      <c r="A74" s="49"/>
      <c r="B74" s="100">
        <v>40</v>
      </c>
      <c r="C74" s="103">
        <f t="shared" ca="1" si="1"/>
        <v>47133</v>
      </c>
      <c r="D74" s="126">
        <f t="shared" si="2"/>
        <v>1550.5015319096678</v>
      </c>
      <c r="E74" s="125">
        <f t="shared" si="3"/>
        <v>2027.5909262416858</v>
      </c>
      <c r="F74" s="149">
        <f t="shared" si="4"/>
        <v>3578.0924581513536</v>
      </c>
      <c r="G74" s="149"/>
      <c r="H74" s="105"/>
      <c r="I74" s="105"/>
      <c r="J74" s="4"/>
      <c r="L74" s="96"/>
      <c r="AC74" s="4"/>
    </row>
    <row r="75" spans="1:29" ht="13.5" thickBot="1" x14ac:dyDescent="0.25">
      <c r="A75" s="49"/>
      <c r="B75" s="100">
        <v>41</v>
      </c>
      <c r="C75" s="103">
        <f t="shared" ca="1" si="1"/>
        <v>47164</v>
      </c>
      <c r="D75" s="126">
        <f t="shared" si="2"/>
        <v>1613.4906566434981</v>
      </c>
      <c r="E75" s="125">
        <f t="shared" si="3"/>
        <v>1964.601801507855</v>
      </c>
      <c r="F75" s="149">
        <f t="shared" si="4"/>
        <v>3578.0924581513532</v>
      </c>
      <c r="G75" s="149"/>
      <c r="H75" s="105"/>
      <c r="I75" s="105"/>
      <c r="J75" s="4"/>
      <c r="L75" s="96"/>
      <c r="AC75" s="4"/>
    </row>
    <row r="76" spans="1:29" ht="13.5" thickBot="1" x14ac:dyDescent="0.25">
      <c r="A76" s="49"/>
      <c r="B76" s="100">
        <v>42</v>
      </c>
      <c r="C76" s="103">
        <f t="shared" ca="1" si="1"/>
        <v>47192</v>
      </c>
      <c r="D76" s="126">
        <f t="shared" si="2"/>
        <v>1679.0387145696404</v>
      </c>
      <c r="E76" s="125">
        <f t="shared" si="3"/>
        <v>1899.0537435817132</v>
      </c>
      <c r="F76" s="149">
        <f t="shared" si="4"/>
        <v>3578.0924581513536</v>
      </c>
      <c r="G76" s="149"/>
      <c r="H76" s="105"/>
      <c r="I76" s="105"/>
      <c r="J76" s="4"/>
      <c r="L76" s="96"/>
      <c r="AC76" s="4"/>
    </row>
    <row r="77" spans="1:29" ht="13.5" thickBot="1" x14ac:dyDescent="0.25">
      <c r="A77" s="49"/>
      <c r="B77" s="100">
        <v>43</v>
      </c>
      <c r="C77" s="103">
        <f t="shared" ca="1" si="1"/>
        <v>47223</v>
      </c>
      <c r="D77" s="126">
        <f t="shared" si="2"/>
        <v>1747.2496623490324</v>
      </c>
      <c r="E77" s="125">
        <f t="shared" si="3"/>
        <v>1830.8427958023219</v>
      </c>
      <c r="F77" s="149">
        <f t="shared" si="4"/>
        <v>3578.0924581513545</v>
      </c>
      <c r="G77" s="149"/>
      <c r="H77" s="105"/>
      <c r="I77" s="105"/>
      <c r="J77" s="4"/>
      <c r="L77" s="96"/>
      <c r="AC77" s="4"/>
    </row>
    <row r="78" spans="1:29" ht="13.5" thickBot="1" x14ac:dyDescent="0.25">
      <c r="A78" s="49"/>
      <c r="B78" s="100">
        <v>44</v>
      </c>
      <c r="C78" s="103">
        <f t="shared" ca="1" si="1"/>
        <v>47253</v>
      </c>
      <c r="D78" s="126">
        <f t="shared" si="2"/>
        <v>1818.231679881962</v>
      </c>
      <c r="E78" s="125">
        <f t="shared" si="3"/>
        <v>1759.8607782693923</v>
      </c>
      <c r="F78" s="149">
        <f t="shared" si="4"/>
        <v>3578.0924581513545</v>
      </c>
      <c r="G78" s="149"/>
      <c r="H78" s="105"/>
      <c r="I78" s="105"/>
      <c r="J78" s="4"/>
      <c r="L78" s="96"/>
      <c r="AC78" s="4"/>
    </row>
    <row r="79" spans="1:29" ht="13.5" thickBot="1" x14ac:dyDescent="0.25">
      <c r="A79" s="49"/>
      <c r="B79" s="100">
        <v>45</v>
      </c>
      <c r="C79" s="103">
        <f t="shared" ca="1" si="1"/>
        <v>47284</v>
      </c>
      <c r="D79" s="126">
        <f t="shared" si="2"/>
        <v>1892.0973418771662</v>
      </c>
      <c r="E79" s="125">
        <f t="shared" si="3"/>
        <v>1685.9951162741877</v>
      </c>
      <c r="F79" s="149">
        <f t="shared" si="4"/>
        <v>3578.0924581513536</v>
      </c>
      <c r="G79" s="149"/>
      <c r="H79" s="105"/>
      <c r="I79" s="105"/>
      <c r="J79" s="4"/>
      <c r="L79" s="96"/>
      <c r="AC79" s="4"/>
    </row>
    <row r="80" spans="1:29" ht="13.5" thickBot="1" x14ac:dyDescent="0.25">
      <c r="A80" s="49"/>
      <c r="B80" s="100">
        <v>46</v>
      </c>
      <c r="C80" s="103">
        <f t="shared" ca="1" si="1"/>
        <v>47314</v>
      </c>
      <c r="D80" s="126">
        <f t="shared" si="2"/>
        <v>1968.9637963909258</v>
      </c>
      <c r="E80" s="125">
        <f t="shared" si="3"/>
        <v>1609.1286617604278</v>
      </c>
      <c r="F80" s="149">
        <f t="shared" si="4"/>
        <v>3578.0924581513536</v>
      </c>
      <c r="G80" s="149"/>
      <c r="H80" s="105"/>
      <c r="I80" s="105"/>
      <c r="J80" s="4"/>
      <c r="L80" s="96"/>
      <c r="AC80" s="4"/>
    </row>
    <row r="81" spans="1:29" ht="13.5" thickBot="1" x14ac:dyDescent="0.25">
      <c r="A81" s="49"/>
      <c r="B81" s="100">
        <v>47</v>
      </c>
      <c r="C81" s="103">
        <f t="shared" ca="1" si="1"/>
        <v>47345</v>
      </c>
      <c r="D81" s="126">
        <f t="shared" si="2"/>
        <v>2048.9529506193076</v>
      </c>
      <c r="E81" s="125">
        <f t="shared" si="3"/>
        <v>1529.1395075320468</v>
      </c>
      <c r="F81" s="149">
        <f t="shared" si="4"/>
        <v>3578.0924581513545</v>
      </c>
      <c r="G81" s="149"/>
      <c r="H81" s="105"/>
      <c r="I81" s="105"/>
      <c r="J81" s="4"/>
      <c r="L81" s="96"/>
      <c r="AC81" s="4"/>
    </row>
    <row r="82" spans="1:29" ht="13.5" thickBot="1" x14ac:dyDescent="0.25">
      <c r="A82" s="49"/>
      <c r="B82" s="100">
        <v>48</v>
      </c>
      <c r="C82" s="103">
        <f t="shared" ca="1" si="1"/>
        <v>47376</v>
      </c>
      <c r="D82" s="126">
        <f t="shared" si="2"/>
        <v>2132.1916642382171</v>
      </c>
      <c r="E82" s="125">
        <f t="shared" si="3"/>
        <v>1445.900793913137</v>
      </c>
      <c r="F82" s="149">
        <f t="shared" si="4"/>
        <v>3578.0924581513541</v>
      </c>
      <c r="G82" s="149"/>
      <c r="H82" s="105"/>
      <c r="I82" s="105"/>
      <c r="J82" s="4"/>
      <c r="L82" s="96"/>
      <c r="AC82" s="4"/>
    </row>
    <row r="83" spans="1:29" ht="13.5" thickBot="1" x14ac:dyDescent="0.25">
      <c r="A83" s="49"/>
      <c r="B83" s="100">
        <v>49</v>
      </c>
      <c r="C83" s="103">
        <f t="shared" ca="1" si="1"/>
        <v>47406</v>
      </c>
      <c r="D83" s="126">
        <f t="shared" si="2"/>
        <v>2218.8119505978948</v>
      </c>
      <c r="E83" s="125">
        <f t="shared" si="3"/>
        <v>1359.2805075534593</v>
      </c>
      <c r="F83" s="149">
        <f t="shared" si="4"/>
        <v>3578.0924581513541</v>
      </c>
      <c r="G83" s="149"/>
      <c r="H83" s="105"/>
      <c r="I83" s="105"/>
      <c r="J83" s="4"/>
      <c r="L83" s="96"/>
      <c r="AC83" s="4"/>
    </row>
    <row r="84" spans="1:29" ht="13.5" thickBot="1" x14ac:dyDescent="0.25">
      <c r="A84" s="49"/>
      <c r="B84" s="100">
        <v>50</v>
      </c>
      <c r="C84" s="103">
        <f t="shared" ca="1" si="1"/>
        <v>47437</v>
      </c>
      <c r="D84" s="126">
        <f t="shared" si="2"/>
        <v>2308.9511860909338</v>
      </c>
      <c r="E84" s="125">
        <f t="shared" si="3"/>
        <v>1269.1412720604199</v>
      </c>
      <c r="F84" s="149">
        <f t="shared" si="4"/>
        <v>3578.0924581513536</v>
      </c>
      <c r="G84" s="149"/>
      <c r="H84" s="105"/>
      <c r="I84" s="105"/>
      <c r="J84" s="4"/>
      <c r="L84" s="96"/>
      <c r="AC84" s="4"/>
    </row>
    <row r="85" spans="1:29" ht="13.5" thickBot="1" x14ac:dyDescent="0.25">
      <c r="A85" s="49"/>
      <c r="B85" s="100">
        <v>51</v>
      </c>
      <c r="C85" s="103">
        <f t="shared" ca="1" si="1"/>
        <v>47467</v>
      </c>
      <c r="D85" s="126">
        <f t="shared" si="2"/>
        <v>2402.7523280258779</v>
      </c>
      <c r="E85" s="125">
        <f t="shared" si="3"/>
        <v>1175.340130125476</v>
      </c>
      <c r="F85" s="149">
        <f t="shared" si="4"/>
        <v>3578.0924581513536</v>
      </c>
      <c r="G85" s="149"/>
      <c r="H85" s="105"/>
      <c r="I85" s="105"/>
      <c r="J85" s="4"/>
      <c r="L85" s="96"/>
      <c r="AC85" s="4"/>
    </row>
    <row r="86" spans="1:29" ht="13.5" thickBot="1" x14ac:dyDescent="0.25">
      <c r="A86" s="49"/>
      <c r="B86" s="100">
        <v>52</v>
      </c>
      <c r="C86" s="103">
        <f t="shared" ca="1" si="1"/>
        <v>47498</v>
      </c>
      <c r="D86" s="126">
        <f t="shared" si="2"/>
        <v>2500.3641413519294</v>
      </c>
      <c r="E86" s="125">
        <f t="shared" si="3"/>
        <v>1077.7283167994244</v>
      </c>
      <c r="F86" s="149">
        <f t="shared" si="4"/>
        <v>3578.0924581513536</v>
      </c>
      <c r="G86" s="149"/>
      <c r="H86" s="105"/>
      <c r="I86" s="105"/>
      <c r="J86" s="4"/>
      <c r="L86" s="96"/>
      <c r="AC86" s="4"/>
    </row>
    <row r="87" spans="1:29" ht="13.5" thickBot="1" x14ac:dyDescent="0.25">
      <c r="A87" s="49"/>
      <c r="B87" s="100">
        <v>53</v>
      </c>
      <c r="C87" s="103">
        <f t="shared" ca="1" si="1"/>
        <v>47529</v>
      </c>
      <c r="D87" s="126">
        <f t="shared" si="2"/>
        <v>2601.9414345943514</v>
      </c>
      <c r="E87" s="125">
        <f t="shared" si="3"/>
        <v>976.1510235570023</v>
      </c>
      <c r="F87" s="149">
        <f t="shared" si="4"/>
        <v>3578.0924581513536</v>
      </c>
      <c r="G87" s="149"/>
      <c r="H87" s="105"/>
      <c r="I87" s="105"/>
      <c r="J87" s="4"/>
      <c r="L87" s="96"/>
      <c r="AC87" s="4"/>
    </row>
    <row r="88" spans="1:29" ht="13.5" thickBot="1" x14ac:dyDescent="0.25">
      <c r="A88" s="49"/>
      <c r="B88" s="100">
        <v>54</v>
      </c>
      <c r="C88" s="103">
        <f t="shared" ca="1" si="1"/>
        <v>47557</v>
      </c>
      <c r="D88" s="126">
        <f t="shared" si="2"/>
        <v>2707.6453053747468</v>
      </c>
      <c r="E88" s="125">
        <f t="shared" si="3"/>
        <v>870.44715277660691</v>
      </c>
      <c r="F88" s="149">
        <f t="shared" si="4"/>
        <v>3578.0924581513536</v>
      </c>
      <c r="G88" s="149"/>
      <c r="H88" s="105"/>
      <c r="I88" s="105"/>
      <c r="J88" s="4"/>
      <c r="L88" s="96"/>
      <c r="AC88" s="4"/>
    </row>
    <row r="89" spans="1:29" ht="13.5" thickBot="1" x14ac:dyDescent="0.25">
      <c r="A89" s="49"/>
      <c r="B89" s="100">
        <v>55</v>
      </c>
      <c r="C89" s="103">
        <f t="shared" ca="1" si="1"/>
        <v>47588</v>
      </c>
      <c r="D89" s="126">
        <f t="shared" si="2"/>
        <v>2817.6433959055962</v>
      </c>
      <c r="E89" s="125">
        <f t="shared" si="3"/>
        <v>760.44906224575766</v>
      </c>
      <c r="F89" s="149">
        <f t="shared" si="4"/>
        <v>3578.0924581513536</v>
      </c>
      <c r="G89" s="149"/>
      <c r="H89" s="105"/>
      <c r="I89" s="105"/>
      <c r="J89" s="4"/>
      <c r="L89" s="96"/>
      <c r="AC89" s="4"/>
    </row>
    <row r="90" spans="1:29" ht="13.5" thickBot="1" x14ac:dyDescent="0.25">
      <c r="A90" s="49"/>
      <c r="B90" s="100">
        <v>56</v>
      </c>
      <c r="C90" s="103">
        <f t="shared" ca="1" si="1"/>
        <v>47618</v>
      </c>
      <c r="D90" s="126">
        <f t="shared" si="2"/>
        <v>2932.1101588642614</v>
      </c>
      <c r="E90" s="125">
        <f t="shared" si="3"/>
        <v>645.98229928709281</v>
      </c>
      <c r="F90" s="149">
        <f t="shared" si="4"/>
        <v>3578.0924581513541</v>
      </c>
      <c r="G90" s="149"/>
      <c r="H90" s="105"/>
      <c r="I90" s="105"/>
      <c r="J90" s="4"/>
      <c r="L90" s="96"/>
      <c r="AC90" s="4"/>
    </row>
    <row r="91" spans="1:29" ht="13.5" thickBot="1" x14ac:dyDescent="0.25">
      <c r="A91" s="49"/>
      <c r="B91" s="100">
        <v>57</v>
      </c>
      <c r="C91" s="103">
        <f t="shared" ca="1" si="1"/>
        <v>47649</v>
      </c>
      <c r="D91" s="126">
        <f t="shared" si="2"/>
        <v>3051.2271340681214</v>
      </c>
      <c r="E91" s="125">
        <f t="shared" si="3"/>
        <v>526.86532408323217</v>
      </c>
      <c r="F91" s="149">
        <f t="shared" si="4"/>
        <v>3578.0924581513536</v>
      </c>
      <c r="G91" s="149"/>
      <c r="H91" s="105"/>
      <c r="I91" s="105"/>
      <c r="J91" s="4"/>
      <c r="L91" s="96"/>
      <c r="AC91" s="4"/>
    </row>
    <row r="92" spans="1:29" ht="13.5" thickBot="1" x14ac:dyDescent="0.25">
      <c r="A92" s="49"/>
      <c r="B92" s="100">
        <v>58</v>
      </c>
      <c r="C92" s="103">
        <f t="shared" ca="1" si="1"/>
        <v>47679</v>
      </c>
      <c r="D92" s="126">
        <f t="shared" si="2"/>
        <v>3175.1832363896392</v>
      </c>
      <c r="E92" s="125">
        <f t="shared" si="3"/>
        <v>402.90922176171472</v>
      </c>
      <c r="F92" s="149">
        <f t="shared" si="4"/>
        <v>3578.0924581513541</v>
      </c>
      <c r="G92" s="149"/>
      <c r="H92" s="105"/>
      <c r="I92" s="105"/>
      <c r="J92" s="4"/>
      <c r="L92" s="96"/>
      <c r="AC92" s="4"/>
    </row>
    <row r="93" spans="1:29" ht="13.5" thickBot="1" x14ac:dyDescent="0.25">
      <c r="A93" s="49"/>
      <c r="B93" s="100">
        <v>59</v>
      </c>
      <c r="C93" s="103">
        <f t="shared" ca="1" si="1"/>
        <v>47710</v>
      </c>
      <c r="D93" s="126">
        <f t="shared" si="2"/>
        <v>3304.1750553679685</v>
      </c>
      <c r="E93" s="125">
        <f t="shared" si="3"/>
        <v>273.91740278338563</v>
      </c>
      <c r="F93" s="149">
        <f t="shared" si="4"/>
        <v>3578.0924581513541</v>
      </c>
      <c r="G93" s="149"/>
      <c r="H93" s="105"/>
      <c r="I93" s="105"/>
      <c r="J93" s="4"/>
      <c r="L93" s="96"/>
      <c r="AC93" s="4"/>
    </row>
    <row r="94" spans="1:29" ht="13.5" thickBot="1" x14ac:dyDescent="0.25">
      <c r="A94" s="49"/>
      <c r="B94" s="122">
        <v>60</v>
      </c>
      <c r="C94" s="123">
        <f t="shared" ca="1" si="1"/>
        <v>47741</v>
      </c>
      <c r="D94" s="126">
        <f t="shared" si="2"/>
        <v>3438.4071669922919</v>
      </c>
      <c r="E94" s="125">
        <f t="shared" si="3"/>
        <v>139.68529115906188</v>
      </c>
      <c r="F94" s="150">
        <f t="shared" si="4"/>
        <v>3578.0924581513536</v>
      </c>
      <c r="G94" s="150"/>
      <c r="H94" s="105"/>
      <c r="I94" s="105"/>
      <c r="J94" s="4"/>
      <c r="L94" s="96"/>
      <c r="AC94" s="4"/>
    </row>
    <row r="95" spans="1:29" ht="16.5" thickBot="1" x14ac:dyDescent="0.25">
      <c r="A95" s="49"/>
      <c r="B95" s="154" t="s">
        <v>1</v>
      </c>
      <c r="C95" s="155"/>
      <c r="D95" s="128">
        <f>SUM(D35:D94)</f>
        <v>79999.999999999985</v>
      </c>
      <c r="E95" s="128">
        <f>SUM(E35:E94)</f>
        <v>134685.54748908122</v>
      </c>
      <c r="F95" s="156">
        <f>SUM(F35:G94)</f>
        <v>214685.54748908128</v>
      </c>
      <c r="G95" s="157"/>
      <c r="H95" s="105"/>
      <c r="I95" s="105"/>
      <c r="J95" s="4"/>
      <c r="L95" s="96"/>
      <c r="AC95" s="4"/>
    </row>
    <row r="96" spans="1:29" x14ac:dyDescent="0.2">
      <c r="A96" s="49"/>
      <c r="B96" s="2"/>
      <c r="C96" s="2"/>
      <c r="D96" s="2"/>
      <c r="E96" s="2"/>
      <c r="F96" s="2"/>
      <c r="G96" s="35"/>
      <c r="I96" s="105"/>
      <c r="J96" s="105"/>
    </row>
    <row r="97" spans="1:10" x14ac:dyDescent="0.2">
      <c r="A97" s="49"/>
      <c r="B97" s="2"/>
      <c r="C97" s="27"/>
      <c r="D97" s="28"/>
      <c r="E97" s="148" t="s">
        <v>3</v>
      </c>
      <c r="F97" s="148"/>
      <c r="G97" s="148"/>
      <c r="I97" s="105"/>
      <c r="J97" s="105"/>
    </row>
    <row r="98" spans="1:10" x14ac:dyDescent="0.2">
      <c r="A98" s="49"/>
      <c r="B98" s="2"/>
      <c r="C98" s="29"/>
      <c r="D98" s="2"/>
      <c r="E98" s="30" t="s">
        <v>4</v>
      </c>
      <c r="F98" s="31"/>
      <c r="G98" s="40"/>
      <c r="I98" s="105"/>
      <c r="J98" s="105"/>
    </row>
    <row r="99" spans="1:10" x14ac:dyDescent="0.2">
      <c r="A99" s="49"/>
      <c r="B99" s="50"/>
      <c r="C99" s="50"/>
      <c r="D99" s="50"/>
      <c r="E99" s="50"/>
      <c r="F99" s="50"/>
      <c r="G99" s="106"/>
      <c r="H99" s="51"/>
      <c r="I99" s="105"/>
      <c r="J99" s="105"/>
    </row>
    <row r="100" spans="1:10" x14ac:dyDescent="0.2">
      <c r="A100" s="49"/>
      <c r="B100" s="50"/>
      <c r="C100" s="50"/>
      <c r="D100" s="50"/>
      <c r="E100" s="50"/>
      <c r="F100" s="50"/>
      <c r="G100" s="106"/>
      <c r="H100" s="51"/>
      <c r="I100" s="52"/>
    </row>
    <row r="101" spans="1:10" x14ac:dyDescent="0.2">
      <c r="A101" s="49"/>
      <c r="B101" s="50"/>
      <c r="C101" s="50"/>
      <c r="D101" s="50"/>
      <c r="E101" s="50"/>
      <c r="F101" s="50"/>
      <c r="G101" s="106"/>
      <c r="H101" s="51"/>
      <c r="I101" s="52"/>
    </row>
    <row r="102" spans="1:10" x14ac:dyDescent="0.2">
      <c r="A102" s="49"/>
      <c r="B102" s="50"/>
      <c r="C102" s="50"/>
      <c r="D102" s="50"/>
      <c r="E102" s="50"/>
      <c r="F102" s="50"/>
      <c r="G102" s="106"/>
      <c r="H102" s="51"/>
      <c r="I102" s="52"/>
    </row>
  </sheetData>
  <sheetProtection algorithmName="SHA-512" hashValue="kd3xfdsgqstlU9hj0Tba4MRj7rVcTkSX/9DEpHPTlJTdI1qSDPxLHhWDKAOdYAEEEtBv5NZ6vI+XEKNItxArIA==" saltValue="ZPml6NlXNxtX+0457m1+nA==" spinCount="100000" sheet="1" selectLockedCells="1"/>
  <dataConsolidate/>
  <mergeCells count="90">
    <mergeCell ref="B9:E9"/>
    <mergeCell ref="H1:I1"/>
    <mergeCell ref="H2:I2"/>
    <mergeCell ref="F3:F4"/>
    <mergeCell ref="H3:I3"/>
    <mergeCell ref="B5:E5"/>
    <mergeCell ref="B7:E7"/>
    <mergeCell ref="B13:E13"/>
    <mergeCell ref="G13:H13"/>
    <mergeCell ref="B17:E17"/>
    <mergeCell ref="G17:H17"/>
    <mergeCell ref="B19:E19"/>
    <mergeCell ref="G19:H19"/>
    <mergeCell ref="B15:E15"/>
    <mergeCell ref="B21:E21"/>
    <mergeCell ref="G21:H21"/>
    <mergeCell ref="B24:E24"/>
    <mergeCell ref="G24:H24"/>
    <mergeCell ref="B26:E26"/>
    <mergeCell ref="G26:H26"/>
    <mergeCell ref="F40:G40"/>
    <mergeCell ref="B28:E28"/>
    <mergeCell ref="G28:H28"/>
    <mergeCell ref="B30:E30"/>
    <mergeCell ref="F33:G33"/>
    <mergeCell ref="F34:G34"/>
    <mergeCell ref="F35:G35"/>
    <mergeCell ref="F36:G36"/>
    <mergeCell ref="F37:G37"/>
    <mergeCell ref="F38:G38"/>
    <mergeCell ref="F39:G39"/>
    <mergeCell ref="B32:G32"/>
    <mergeCell ref="F52:G52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84:G84"/>
    <mergeCell ref="F64:G64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73:G73"/>
    <mergeCell ref="F74:G74"/>
    <mergeCell ref="F75:G75"/>
    <mergeCell ref="F82:G82"/>
    <mergeCell ref="F83:G83"/>
    <mergeCell ref="F68:G68"/>
    <mergeCell ref="F69:G69"/>
    <mergeCell ref="F70:G70"/>
    <mergeCell ref="F71:G71"/>
    <mergeCell ref="F72:G72"/>
    <mergeCell ref="F85:G85"/>
    <mergeCell ref="F86:G86"/>
    <mergeCell ref="B11:E11"/>
    <mergeCell ref="B95:C95"/>
    <mergeCell ref="F95:G95"/>
    <mergeCell ref="F88:G88"/>
    <mergeCell ref="F77:G77"/>
    <mergeCell ref="F78:G78"/>
    <mergeCell ref="F79:G79"/>
    <mergeCell ref="F80:G80"/>
    <mergeCell ref="F81:G81"/>
    <mergeCell ref="F87:G87"/>
    <mergeCell ref="F76:G76"/>
    <mergeCell ref="F65:G65"/>
    <mergeCell ref="F66:G66"/>
    <mergeCell ref="F67:G67"/>
    <mergeCell ref="E97:G97"/>
    <mergeCell ref="F89:G89"/>
    <mergeCell ref="F90:G90"/>
    <mergeCell ref="F91:G91"/>
    <mergeCell ref="F92:G92"/>
    <mergeCell ref="F93:G93"/>
    <mergeCell ref="F94:G94"/>
  </mergeCells>
  <dataValidations count="1">
    <dataValidation type="list" showInputMessage="1" showErrorMessage="1" sqref="H2:I2" xr:uid="{00000000-0002-0000-0600-000000000000}">
      <formula1>$K$22:$K$24</formula1>
    </dataValidation>
  </dataValidations>
  <pageMargins left="0.39370078740157483" right="0.35433070866141736" top="0.59055118110236227" bottom="0.59055118110236227" header="0.51181102362204722" footer="0.51181102362204722"/>
  <pageSetup paperSize="9" scale="60" firstPageNumber="2" orientation="portrait" verticalDpi="300" r:id="rId1"/>
  <headerFooter alignWithMargins="0"/>
  <rowBreaks count="1" manualBreakCount="1">
    <brk id="95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O6"/>
  <sheetViews>
    <sheetView zoomScale="85" zoomScaleNormal="85" workbookViewId="0">
      <selection activeCell="G16" sqref="G16"/>
    </sheetView>
  </sheetViews>
  <sheetFormatPr defaultColWidth="9.140625" defaultRowHeight="12.75" x14ac:dyDescent="0.2"/>
  <cols>
    <col min="1" max="1" width="31" style="110" customWidth="1"/>
    <col min="2" max="2" width="11.42578125" style="110" customWidth="1"/>
    <col min="3" max="5" width="9.140625" style="110"/>
    <col min="6" max="6" width="17.28515625" style="110" customWidth="1"/>
    <col min="7" max="7" width="16.85546875" style="110" customWidth="1"/>
    <col min="8" max="8" width="15.7109375" style="110" customWidth="1"/>
    <col min="9" max="11" width="9.140625" style="110" customWidth="1"/>
    <col min="12" max="14" width="17.42578125" style="110" customWidth="1"/>
    <col min="15" max="16384" width="9.140625" style="110"/>
  </cols>
  <sheetData>
    <row r="1" spans="1:15" ht="27.75" customHeight="1" x14ac:dyDescent="0.2">
      <c r="B1" s="110" t="s">
        <v>17</v>
      </c>
      <c r="C1" s="110" t="s">
        <v>18</v>
      </c>
      <c r="D1" s="147" t="s">
        <v>41</v>
      </c>
      <c r="E1" s="133" t="s">
        <v>49</v>
      </c>
      <c r="F1" s="110" t="s">
        <v>19</v>
      </c>
      <c r="G1" s="110" t="s">
        <v>20</v>
      </c>
      <c r="K1" s="110" t="s">
        <v>12</v>
      </c>
      <c r="L1" s="110" t="s">
        <v>0</v>
      </c>
      <c r="M1" s="110" t="s">
        <v>26</v>
      </c>
      <c r="N1" s="110" t="s">
        <v>27</v>
      </c>
    </row>
    <row r="2" spans="1:15" x14ac:dyDescent="0.2">
      <c r="D2" s="111"/>
      <c r="E2" s="111"/>
      <c r="F2" s="111"/>
      <c r="G2" s="111"/>
      <c r="I2" s="110" t="s">
        <v>22</v>
      </c>
      <c r="J2" s="110" t="s">
        <v>21</v>
      </c>
      <c r="L2" s="112"/>
      <c r="M2" s="112"/>
      <c r="N2" s="112"/>
    </row>
    <row r="3" spans="1:15" x14ac:dyDescent="0.2">
      <c r="A3" s="110">
        <v>1</v>
      </c>
      <c r="B3" s="110">
        <v>2</v>
      </c>
      <c r="C3" s="110">
        <v>3</v>
      </c>
      <c r="D3" s="110">
        <v>4</v>
      </c>
      <c r="F3" s="110">
        <v>5</v>
      </c>
      <c r="G3" s="110">
        <v>6</v>
      </c>
      <c r="H3" s="110">
        <v>7</v>
      </c>
      <c r="I3" s="110">
        <v>8</v>
      </c>
      <c r="J3" s="110">
        <v>9</v>
      </c>
      <c r="K3" s="110">
        <v>10</v>
      </c>
      <c r="L3" s="110">
        <v>11</v>
      </c>
      <c r="M3" s="110">
        <v>12</v>
      </c>
      <c r="N3" s="110">
        <v>13</v>
      </c>
      <c r="O3" s="110">
        <v>14</v>
      </c>
    </row>
    <row r="4" spans="1:15" x14ac:dyDescent="0.2">
      <c r="A4" s="135" t="s">
        <v>50</v>
      </c>
      <c r="B4" s="135">
        <v>500000</v>
      </c>
      <c r="C4" s="135">
        <v>60</v>
      </c>
      <c r="D4" s="136">
        <v>0.39</v>
      </c>
      <c r="E4" s="136">
        <v>0.65</v>
      </c>
      <c r="F4" s="136">
        <v>0</v>
      </c>
      <c r="G4" s="136">
        <v>0</v>
      </c>
      <c r="H4" s="135" t="s">
        <v>53</v>
      </c>
      <c r="I4" s="135">
        <v>500000</v>
      </c>
      <c r="J4" s="135"/>
      <c r="K4" s="135">
        <v>1</v>
      </c>
      <c r="L4" s="137">
        <v>3738.9128907694981</v>
      </c>
      <c r="M4" s="138">
        <v>0</v>
      </c>
      <c r="N4" s="139">
        <v>0</v>
      </c>
      <c r="O4" s="135">
        <v>25000</v>
      </c>
    </row>
    <row r="5" spans="1:15" x14ac:dyDescent="0.2">
      <c r="A5" s="135" t="s">
        <v>51</v>
      </c>
      <c r="B5" s="135">
        <v>500000</v>
      </c>
      <c r="C5" s="135">
        <v>48</v>
      </c>
      <c r="D5" s="136">
        <v>0.39</v>
      </c>
      <c r="E5" s="136">
        <v>0.65</v>
      </c>
      <c r="F5" s="136">
        <v>0</v>
      </c>
      <c r="G5" s="136">
        <v>0</v>
      </c>
      <c r="H5" s="135" t="s">
        <v>53</v>
      </c>
      <c r="I5" s="135">
        <v>500000</v>
      </c>
      <c r="J5" s="135"/>
      <c r="K5" s="135">
        <v>1</v>
      </c>
      <c r="L5" s="137">
        <v>3738.9128907694981</v>
      </c>
      <c r="M5" s="138">
        <v>0</v>
      </c>
      <c r="N5" s="139">
        <v>0</v>
      </c>
      <c r="O5" s="135">
        <v>25000</v>
      </c>
    </row>
    <row r="6" spans="1:15" x14ac:dyDescent="0.2">
      <c r="A6" s="135" t="s">
        <v>52</v>
      </c>
      <c r="B6" s="135">
        <v>500000</v>
      </c>
      <c r="C6" s="135">
        <v>36</v>
      </c>
      <c r="D6" s="136">
        <v>0.39</v>
      </c>
      <c r="E6" s="136">
        <v>0.65</v>
      </c>
      <c r="F6" s="136">
        <v>0</v>
      </c>
      <c r="G6" s="136">
        <v>0</v>
      </c>
      <c r="H6" s="135" t="s">
        <v>53</v>
      </c>
      <c r="I6" s="135">
        <v>500000</v>
      </c>
      <c r="J6" s="135"/>
      <c r="K6" s="135">
        <v>1</v>
      </c>
      <c r="L6" s="137">
        <v>3738.9128907694981</v>
      </c>
      <c r="M6" s="138">
        <v>0</v>
      </c>
      <c r="N6" s="139">
        <v>0</v>
      </c>
      <c r="O6" s="135">
        <v>25000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5"/>
  <dimension ref="A1:H37"/>
  <sheetViews>
    <sheetView zoomScale="70" zoomScaleNormal="70" workbookViewId="0">
      <selection activeCell="A5" sqref="A5:D5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189" t="s">
        <v>13</v>
      </c>
      <c r="B1" s="190"/>
      <c r="C1" s="190"/>
      <c r="D1" s="191"/>
      <c r="E1" s="60">
        <v>5000</v>
      </c>
      <c r="F1" s="61" t="s">
        <v>8</v>
      </c>
      <c r="G1" s="61" t="s">
        <v>7</v>
      </c>
    </row>
    <row r="2" spans="1:8" x14ac:dyDescent="0.2">
      <c r="A2" s="62"/>
      <c r="B2" s="4"/>
      <c r="C2" s="62"/>
      <c r="D2" s="4"/>
      <c r="E2" s="63"/>
      <c r="F2" s="64"/>
      <c r="G2" s="41"/>
      <c r="H2" s="4"/>
    </row>
    <row r="3" spans="1:8" ht="15.75" x14ac:dyDescent="0.25">
      <c r="A3" s="144" t="s">
        <v>48</v>
      </c>
      <c r="B3" s="4"/>
      <c r="C3" s="62"/>
      <c r="D3" s="4"/>
      <c r="E3" s="63"/>
      <c r="F3" s="64"/>
      <c r="G3" s="41"/>
      <c r="H3" s="4"/>
    </row>
    <row r="4" spans="1:8" x14ac:dyDescent="0.2">
      <c r="A4" s="62"/>
      <c r="B4" s="4"/>
      <c r="C4" s="62"/>
      <c r="D4" s="4"/>
      <c r="E4" s="63"/>
      <c r="F4" s="64"/>
      <c r="G4" s="41"/>
      <c r="H4" s="4"/>
    </row>
    <row r="5" spans="1:8" x14ac:dyDescent="0.2">
      <c r="A5" s="184" t="s">
        <v>46</v>
      </c>
      <c r="B5" s="185"/>
      <c r="C5" s="185"/>
      <c r="D5" s="186"/>
      <c r="E5" s="7"/>
      <c r="F5" s="8"/>
      <c r="G5" s="7"/>
    </row>
    <row r="6" spans="1:8" x14ac:dyDescent="0.2">
      <c r="A6" s="47"/>
      <c r="B6" s="47"/>
      <c r="C6" s="47"/>
      <c r="D6" s="47"/>
      <c r="E6" s="66"/>
      <c r="F6" s="121"/>
      <c r="G6" s="66"/>
    </row>
    <row r="7" spans="1:8" x14ac:dyDescent="0.2">
      <c r="A7" s="184" t="s">
        <v>45</v>
      </c>
      <c r="B7" s="185"/>
      <c r="C7" s="185"/>
      <c r="D7" s="186"/>
      <c r="E7" s="7"/>
      <c r="F7" s="8"/>
      <c r="G7" s="7"/>
    </row>
    <row r="8" spans="1:8" x14ac:dyDescent="0.2">
      <c r="A8" s="62"/>
      <c r="B8" s="4"/>
      <c r="C8" s="62"/>
      <c r="D8" s="4"/>
      <c r="E8" s="66"/>
      <c r="F8" s="64"/>
      <c r="G8" s="41"/>
      <c r="H8" s="4"/>
    </row>
    <row r="9" spans="1:8" x14ac:dyDescent="0.2">
      <c r="A9" s="184" t="s">
        <v>28</v>
      </c>
      <c r="B9" s="185"/>
      <c r="C9" s="185"/>
      <c r="D9" s="186"/>
      <c r="E9" s="7"/>
      <c r="F9" s="8"/>
      <c r="G9" s="8"/>
    </row>
    <row r="10" spans="1:8" x14ac:dyDescent="0.2">
      <c r="A10" s="62"/>
      <c r="B10" s="4"/>
      <c r="C10" s="62"/>
      <c r="D10" s="4"/>
      <c r="E10" s="67"/>
      <c r="F10" s="64"/>
      <c r="G10" s="41"/>
      <c r="H10" s="4"/>
    </row>
    <row r="11" spans="1:8" x14ac:dyDescent="0.2">
      <c r="A11" s="184" t="s">
        <v>29</v>
      </c>
      <c r="B11" s="185"/>
      <c r="C11" s="185"/>
      <c r="D11" s="186"/>
      <c r="E11" s="7"/>
      <c r="F11" s="8"/>
      <c r="G11" s="8"/>
    </row>
    <row r="12" spans="1:8" x14ac:dyDescent="0.2">
      <c r="A12" s="62"/>
      <c r="B12" s="4"/>
      <c r="C12" s="62"/>
      <c r="D12" s="4"/>
      <c r="E12" s="66"/>
      <c r="F12" s="64"/>
      <c r="G12" s="41"/>
      <c r="H12" s="4"/>
    </row>
    <row r="13" spans="1:8" x14ac:dyDescent="0.2">
      <c r="A13" s="184" t="s">
        <v>40</v>
      </c>
      <c r="B13" s="185"/>
      <c r="C13" s="185"/>
      <c r="D13" s="186"/>
      <c r="E13" s="68"/>
      <c r="F13" s="8"/>
      <c r="G13" s="8"/>
    </row>
    <row r="14" spans="1:8" x14ac:dyDescent="0.2">
      <c r="A14" s="69"/>
      <c r="B14" s="12"/>
      <c r="C14" s="69"/>
      <c r="D14" s="70"/>
      <c r="E14" s="46"/>
      <c r="F14" s="64"/>
      <c r="G14" s="71"/>
      <c r="H14" s="12"/>
    </row>
    <row r="15" spans="1:8" x14ac:dyDescent="0.2">
      <c r="A15" s="69"/>
      <c r="B15" s="12"/>
      <c r="C15" s="69"/>
      <c r="D15" s="72"/>
      <c r="E15" s="46"/>
      <c r="F15" s="64"/>
      <c r="G15" s="71"/>
      <c r="H15" s="12"/>
    </row>
    <row r="16" spans="1:8" x14ac:dyDescent="0.2">
      <c r="A16" s="184" t="s">
        <v>39</v>
      </c>
      <c r="B16" s="185"/>
      <c r="C16" s="185"/>
      <c r="D16" s="186"/>
      <c r="E16" s="13"/>
      <c r="F16" s="13"/>
      <c r="G16" s="14"/>
      <c r="H16" s="12"/>
    </row>
    <row r="17" spans="1:8" x14ac:dyDescent="0.2">
      <c r="A17" s="47"/>
      <c r="B17" s="47"/>
      <c r="C17" s="47"/>
      <c r="D17" s="47"/>
      <c r="E17" s="73"/>
      <c r="F17" s="74"/>
      <c r="G17" s="75"/>
      <c r="H17" s="12"/>
    </row>
    <row r="18" spans="1:8" x14ac:dyDescent="0.2">
      <c r="A18" s="184" t="s">
        <v>35</v>
      </c>
      <c r="B18" s="185"/>
      <c r="C18" s="185"/>
      <c r="D18" s="186"/>
      <c r="E18" s="58"/>
      <c r="F18" s="59"/>
      <c r="G18" s="14"/>
      <c r="H18" s="12"/>
    </row>
    <row r="19" spans="1:8" x14ac:dyDescent="0.2">
      <c r="A19" s="65"/>
      <c r="B19" s="65"/>
      <c r="C19" s="65"/>
      <c r="D19" s="65"/>
      <c r="E19" s="76"/>
      <c r="F19" s="74"/>
      <c r="G19" s="75"/>
      <c r="H19" s="12"/>
    </row>
    <row r="20" spans="1:8" x14ac:dyDescent="0.2">
      <c r="A20" s="184" t="s">
        <v>38</v>
      </c>
      <c r="B20" s="185"/>
      <c r="C20" s="185"/>
      <c r="D20" s="186"/>
      <c r="E20" s="21"/>
      <c r="F20" s="8"/>
      <c r="G20" s="8"/>
      <c r="H20" s="12"/>
    </row>
    <row r="21" spans="1:8" x14ac:dyDescent="0.2">
      <c r="A21" s="47"/>
      <c r="B21" s="47"/>
      <c r="C21" s="47"/>
      <c r="D21" s="47"/>
      <c r="E21" s="120"/>
      <c r="F21" s="121"/>
      <c r="G21" s="121"/>
      <c r="H21" s="12"/>
    </row>
    <row r="22" spans="1:8" x14ac:dyDescent="0.2">
      <c r="A22" s="47" t="s">
        <v>42</v>
      </c>
      <c r="B22" s="47"/>
      <c r="C22" s="47"/>
      <c r="D22" s="47"/>
      <c r="E22" s="120"/>
      <c r="F22" s="121"/>
      <c r="G22" s="121"/>
      <c r="H22" s="12"/>
    </row>
    <row r="23" spans="1:8" x14ac:dyDescent="0.2">
      <c r="A23" s="47"/>
      <c r="B23" s="47"/>
      <c r="C23" s="47"/>
      <c r="D23" s="47"/>
      <c r="E23" s="66"/>
      <c r="F23" s="74"/>
      <c r="G23" s="75"/>
      <c r="H23" s="12"/>
    </row>
    <row r="24" spans="1:8" ht="33.75" x14ac:dyDescent="0.2">
      <c r="A24" s="187" t="s">
        <v>5</v>
      </c>
      <c r="B24" s="188"/>
      <c r="C24" s="77" t="s">
        <v>0</v>
      </c>
      <c r="D24" s="78" t="s">
        <v>24</v>
      </c>
      <c r="E24" s="79" t="s">
        <v>10</v>
      </c>
      <c r="F24" s="79" t="s">
        <v>9</v>
      </c>
      <c r="G24" s="79" t="s">
        <v>11</v>
      </c>
      <c r="H24" s="79" t="s">
        <v>23</v>
      </c>
    </row>
    <row r="25" spans="1:8" x14ac:dyDescent="0.2">
      <c r="A25" s="192" t="s">
        <v>16</v>
      </c>
      <c r="B25" s="193"/>
      <c r="C25" s="38">
        <f>IF(ISERROR(L20),"",L20)</f>
        <v>0</v>
      </c>
      <c r="D25" s="38">
        <f>IF(ISERROR(L16),"",L16)</f>
        <v>0</v>
      </c>
      <c r="E25" s="55">
        <f>IF(ISERROR(L18),"",L18)</f>
        <v>0</v>
      </c>
      <c r="F25" s="22" t="str">
        <f>IF(ISERROR(D25/#REF!),"",D25/#REF!)</f>
        <v/>
      </c>
      <c r="G25" s="23" t="str">
        <f>IF(ISERROR(D25/#REF!/F$5),"",D25/#REF!/F$5)</f>
        <v/>
      </c>
      <c r="H25" s="23" t="str">
        <f>IF(ISERROR(C25/F$5),"",C25/F$5)</f>
        <v/>
      </c>
    </row>
    <row r="26" spans="1:8" x14ac:dyDescent="0.2">
      <c r="A26" s="192" t="s">
        <v>6</v>
      </c>
      <c r="B26" s="193"/>
      <c r="C26" s="39">
        <f>IF(ISERROR(M20),"",M20)</f>
        <v>0</v>
      </c>
      <c r="D26" s="39">
        <f>IF(ISERROR(M16),"",M16)</f>
        <v>0</v>
      </c>
      <c r="E26" s="56">
        <f>IF(ISERROR(M18),"",M18)</f>
        <v>0</v>
      </c>
      <c r="F26" s="22" t="str">
        <f>IF(ISERROR(D26/#REF!),"",D26/#REF!)</f>
        <v/>
      </c>
      <c r="G26" s="23" t="str">
        <f>IF(ISERROR(D26/#REF!/F$5),"",D26/#REF!/F$5)</f>
        <v/>
      </c>
      <c r="H26" s="23" t="str">
        <f>IF(ISERROR(C26/F$5),"",C26/F$5)</f>
        <v/>
      </c>
    </row>
    <row r="27" spans="1:8" x14ac:dyDescent="0.2">
      <c r="A27" s="192" t="s">
        <v>14</v>
      </c>
      <c r="B27" s="193"/>
      <c r="C27" s="39">
        <f>IF(ISERROR(N20),"",N20)</f>
        <v>0</v>
      </c>
      <c r="D27" s="39">
        <f>IF(ISERROR(N16),"",N16)</f>
        <v>0</v>
      </c>
      <c r="E27" s="56">
        <f>IF(ISERROR(N18),"",N18)</f>
        <v>0</v>
      </c>
      <c r="F27" s="22" t="str">
        <f>IF(ISERROR(D27/#REF!),"",D27/#REF!)</f>
        <v/>
      </c>
      <c r="G27" s="23" t="str">
        <f>IF(ISERROR(D27/#REF!/F$5),"",D27/#REF!/F$5)</f>
        <v/>
      </c>
      <c r="H27" s="23" t="str">
        <f>IF(ISERROR(C27/F$5),"",C27/F$5)</f>
        <v/>
      </c>
    </row>
    <row r="28" spans="1:8" x14ac:dyDescent="0.2">
      <c r="A28" s="192" t="s">
        <v>15</v>
      </c>
      <c r="B28" s="193"/>
      <c r="C28" s="39">
        <f>IF(ISERROR(O20),"",O20)</f>
        <v>0</v>
      </c>
      <c r="D28" s="39">
        <f>IF(ISERROR(O16),"",O16)</f>
        <v>0</v>
      </c>
      <c r="E28" s="56">
        <f>IF(ISERROR(O18),"",O18)</f>
        <v>0</v>
      </c>
      <c r="F28" s="22" t="str">
        <f>IF(ISERROR(D28/#REF!),"",D28/#REF!)</f>
        <v/>
      </c>
      <c r="G28" s="23" t="str">
        <f>IF(ISERROR(D28/#REF!/F$5),"",D28/#REF!/F$5)</f>
        <v/>
      </c>
      <c r="H28" s="23" t="str">
        <f>IF(ISERROR(C28/F$5),"",C28/F$5)</f>
        <v/>
      </c>
    </row>
    <row r="29" spans="1:8" x14ac:dyDescent="0.2">
      <c r="A29" s="62"/>
      <c r="B29" s="47"/>
      <c r="C29" s="62"/>
      <c r="D29" s="80"/>
      <c r="E29" s="4"/>
      <c r="F29" s="41"/>
      <c r="G29" s="64"/>
      <c r="H29" s="4"/>
    </row>
    <row r="30" spans="1:8" ht="13.5" thickBot="1" x14ac:dyDescent="0.25">
      <c r="A30" s="81"/>
      <c r="B30" s="47"/>
      <c r="C30" s="81"/>
      <c r="D30" s="82"/>
      <c r="E30" s="83"/>
      <c r="F30" s="75"/>
      <c r="G30" s="74"/>
      <c r="H30" s="12"/>
    </row>
    <row r="31" spans="1:8" ht="18.75" thickBot="1" x14ac:dyDescent="0.25">
      <c r="A31" s="199" t="s">
        <v>34</v>
      </c>
      <c r="B31" s="200"/>
      <c r="C31" s="200"/>
      <c r="D31" s="200"/>
      <c r="E31" s="200"/>
      <c r="F31" s="200"/>
      <c r="G31" s="134"/>
    </row>
    <row r="32" spans="1:8" ht="45.75" thickBot="1" x14ac:dyDescent="0.25">
      <c r="A32" s="195" t="s">
        <v>2</v>
      </c>
      <c r="B32" s="196"/>
      <c r="C32" s="84" t="s">
        <v>32</v>
      </c>
      <c r="D32" s="84" t="s">
        <v>30</v>
      </c>
      <c r="E32" s="84" t="s">
        <v>31</v>
      </c>
      <c r="F32" s="197" t="s">
        <v>33</v>
      </c>
      <c r="G32" s="198"/>
    </row>
    <row r="33" spans="1:7" x14ac:dyDescent="0.2">
      <c r="A33" s="4"/>
      <c r="B33" s="4"/>
      <c r="C33" s="4"/>
      <c r="D33" s="4"/>
      <c r="E33" s="4"/>
      <c r="F33" s="41"/>
      <c r="G33" s="64"/>
    </row>
    <row r="34" spans="1:7" x14ac:dyDescent="0.2">
      <c r="A34" s="4" t="s">
        <v>3</v>
      </c>
      <c r="B34" s="85"/>
      <c r="C34" s="86"/>
      <c r="D34" s="194"/>
      <c r="E34" s="194"/>
      <c r="F34" s="194"/>
      <c r="G34" s="64"/>
    </row>
    <row r="35" spans="1:7" x14ac:dyDescent="0.2">
      <c r="A35" s="4" t="s">
        <v>4</v>
      </c>
      <c r="B35" s="87"/>
      <c r="C35" s="4"/>
      <c r="D35" s="33"/>
      <c r="E35" s="34"/>
      <c r="F35" s="88"/>
      <c r="G35" s="64"/>
    </row>
    <row r="37" spans="1:7" x14ac:dyDescent="0.2">
      <c r="A37" t="s">
        <v>25</v>
      </c>
      <c r="B37">
        <v>30.4</v>
      </c>
    </row>
  </sheetData>
  <sheetProtection selectLockedCells="1"/>
  <mergeCells count="18">
    <mergeCell ref="A25:B25"/>
    <mergeCell ref="A26:B26"/>
    <mergeCell ref="D34:F34"/>
    <mergeCell ref="A28:B28"/>
    <mergeCell ref="A32:B32"/>
    <mergeCell ref="F32:G32"/>
    <mergeCell ref="A27:B27"/>
    <mergeCell ref="A31:F31"/>
    <mergeCell ref="A16:D16"/>
    <mergeCell ref="A18:D18"/>
    <mergeCell ref="A20:D20"/>
    <mergeCell ref="A24:B24"/>
    <mergeCell ref="A1:D1"/>
    <mergeCell ref="A5:D5"/>
    <mergeCell ref="A9:D9"/>
    <mergeCell ref="A11:D11"/>
    <mergeCell ref="A13:D13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Зустрічна пропозиція</vt:lpstr>
      <vt:lpstr>Лист2</vt:lpstr>
      <vt:lpstr>Назви</vt:lpstr>
      <vt:lpstr>'Зустрічна пропозиція'!Область_друку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2020-02-12T09:25:28Z</cp:lastPrinted>
  <dcterms:created xsi:type="dcterms:W3CDTF">2008-03-13T06:51:50Z</dcterms:created>
  <dcterms:modified xsi:type="dcterms:W3CDTF">2025-09-15T07:59:15Z</dcterms:modified>
</cp:coreProperties>
</file>