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YuDoliuk\Desktop\60 міс\САйт\"/>
    </mc:Choice>
  </mc:AlternateContent>
  <xr:revisionPtr revIDLastSave="0" documentId="13_ncr:1_{D8429E37-8B0C-4783-B382-105E0C4941D5}" xr6:coauthVersionLast="47" xr6:coauthVersionMax="47" xr10:uidLastSave="{00000000-0000-0000-0000-000000000000}"/>
  <workbookProtection workbookAlgorithmName="SHA-512" workbookHashValue="9hlJWW4wD8ZdMtHpL1wSQoO/18SBCxoz2Sws847EVcdGwVJVX5lQFpr0wIW+6KMziwqrgjnafbvHX+vMLuQdaA==" workbookSaltValue="EBUYKQrSQkZFhceCBKOrsA==" workbookSpinCount="100000" lockStructure="1"/>
  <bookViews>
    <workbookView xWindow="-120" yWindow="-120" windowWidth="29040" windowHeight="15990" tabRatio="863" firstSheet="5" activeTab="6" xr2:uid="{00000000-000D-0000-FFFF-FFFF00000000}"/>
  </bookViews>
  <sheets>
    <sheet name="Головна" sheetId="171" state="hidden" r:id="rId1"/>
    <sheet name="Простий" sheetId="175" state="hidden" r:id="rId2"/>
    <sheet name="BIG CASH" sheetId="164" state="hidden" r:id="rId3"/>
    <sheet name="Пенсійний" sheetId="173" state="hidden" r:id="rId4"/>
    <sheet name="Від 1 000 до 29 999" sheetId="186" state="hidden" r:id="rId5"/>
    <sheet name="Цільовий без СК" sheetId="188" r:id="rId6"/>
    <sheet name="Цільовий без СК_-10%" sheetId="187" r:id="rId7"/>
    <sheet name="Від 200 000 до 500 000" sheetId="189" state="hidden" r:id="rId8"/>
    <sheet name="Лист2" sheetId="165" state="hidden" r:id="rId9"/>
    <sheet name="Назви" sheetId="161" state="hidden" r:id="rId10"/>
    <sheet name="Лист3" sheetId="191" state="hidden" r:id="rId11"/>
  </sheets>
  <definedNames>
    <definedName name="_xlnm._FilterDatabase" localSheetId="4" hidden="1">'Від 1 000 до 29 999'!$A$27:$H$89</definedName>
    <definedName name="_xlnm._FilterDatabase" localSheetId="7" hidden="1">'Від 200 000 до 500 000'!$A$27:$H$89</definedName>
    <definedName name="_xlnm._FilterDatabase" localSheetId="5" hidden="1">'Цільовий без СК'!$A$27:$H$89</definedName>
    <definedName name="_xlnm._FilterDatabase" localSheetId="6" hidden="1">'Цільовий без СК_-10%'!$A$29:$G$91</definedName>
    <definedName name="_xlnm.Print_Area" localSheetId="2">'BIG CASH'!$A$1:$I$95</definedName>
    <definedName name="_xlnm.Print_Area" localSheetId="4">'Від 1 000 до 29 999'!$A$1:$L$92</definedName>
    <definedName name="_xlnm.Print_Area" localSheetId="7">'Від 200 000 до 500 000'!$A$1:$J$92</definedName>
    <definedName name="_xlnm.Print_Area" localSheetId="0">Головна!$B$4:$Q$22</definedName>
    <definedName name="_xlnm.Print_Area" localSheetId="3">Пенсійний!$A$1:$I$95</definedName>
    <definedName name="_xlnm.Print_Area" localSheetId="1">Простий!$A$1:$I$95</definedName>
    <definedName name="_xlnm.Print_Area" localSheetId="5">'Цільовий без СК'!$A$1:$J$92</definedName>
    <definedName name="_xlnm.Print_Area" localSheetId="6">'Цільовий без СК_-10%'!$A$1:$J$94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87" l="1"/>
  <c r="C28" i="188"/>
  <c r="K19" i="187"/>
  <c r="K20" i="187"/>
  <c r="K21" i="187"/>
  <c r="K22" i="187"/>
  <c r="K23" i="187"/>
  <c r="K17" i="188"/>
  <c r="K18" i="188"/>
  <c r="K19" i="188"/>
  <c r="K20" i="188"/>
  <c r="K21" i="188"/>
  <c r="K22" i="188"/>
  <c r="K23" i="188"/>
  <c r="K24" i="188"/>
  <c r="H3" i="187"/>
  <c r="F9" i="188"/>
  <c r="E4" i="165"/>
  <c r="E5" i="165"/>
  <c r="E6" i="165"/>
  <c r="E7" i="165"/>
  <c r="K18" i="187" l="1"/>
  <c r="K16" i="188"/>
  <c r="F15" i="188" l="1"/>
  <c r="F11" i="188"/>
  <c r="F13" i="188"/>
  <c r="F2" i="188"/>
  <c r="E2" i="188"/>
  <c r="H3" i="188"/>
  <c r="F15" i="187"/>
  <c r="F13" i="187"/>
  <c r="F11" i="187"/>
  <c r="B11" i="187"/>
  <c r="E11" i="187"/>
  <c r="D11" i="187"/>
  <c r="C11" i="187"/>
  <c r="F11" i="189" l="1"/>
  <c r="F15" i="189"/>
  <c r="K44" i="189" l="1"/>
  <c r="K43" i="189"/>
  <c r="K42" i="189"/>
  <c r="K41" i="189"/>
  <c r="K40" i="189"/>
  <c r="K39" i="189"/>
  <c r="K38" i="189"/>
  <c r="K37" i="189"/>
  <c r="K36" i="189"/>
  <c r="K35" i="189"/>
  <c r="K34" i="189"/>
  <c r="K33" i="189"/>
  <c r="K32" i="189"/>
  <c r="K31" i="189"/>
  <c r="K30" i="189"/>
  <c r="K29" i="189"/>
  <c r="K28" i="189"/>
  <c r="C28" i="189"/>
  <c r="C29" i="189" s="1"/>
  <c r="C30" i="189" s="1"/>
  <c r="C31" i="189" s="1"/>
  <c r="C32" i="189" s="1"/>
  <c r="C33" i="189" s="1"/>
  <c r="C34" i="189" s="1"/>
  <c r="C35" i="189" s="1"/>
  <c r="C36" i="189" s="1"/>
  <c r="C37" i="189" s="1"/>
  <c r="C38" i="189" s="1"/>
  <c r="C39" i="189" s="1"/>
  <c r="C40" i="189" s="1"/>
  <c r="C41" i="189" s="1"/>
  <c r="C42" i="189" s="1"/>
  <c r="C43" i="189" s="1"/>
  <c r="C44" i="189" s="1"/>
  <c r="C45" i="189" s="1"/>
  <c r="C46" i="189" s="1"/>
  <c r="C47" i="189" s="1"/>
  <c r="C48" i="189" s="1"/>
  <c r="C49" i="189" s="1"/>
  <c r="C50" i="189" s="1"/>
  <c r="C51" i="189" s="1"/>
  <c r="C52" i="189" s="1"/>
  <c r="C53" i="189" s="1"/>
  <c r="C54" i="189" s="1"/>
  <c r="C55" i="189" s="1"/>
  <c r="C56" i="189" s="1"/>
  <c r="C57" i="189" s="1"/>
  <c r="C58" i="189" s="1"/>
  <c r="C59" i="189" s="1"/>
  <c r="C60" i="189" s="1"/>
  <c r="C61" i="189" s="1"/>
  <c r="C62" i="189" s="1"/>
  <c r="C63" i="189" s="1"/>
  <c r="C64" i="189" s="1"/>
  <c r="C65" i="189" s="1"/>
  <c r="C66" i="189" s="1"/>
  <c r="C67" i="189" s="1"/>
  <c r="C68" i="189" s="1"/>
  <c r="C69" i="189" s="1"/>
  <c r="C70" i="189" s="1"/>
  <c r="C71" i="189" s="1"/>
  <c r="C72" i="189" s="1"/>
  <c r="C73" i="189" s="1"/>
  <c r="C74" i="189" s="1"/>
  <c r="C75" i="189" s="1"/>
  <c r="C76" i="189" s="1"/>
  <c r="C77" i="189" s="1"/>
  <c r="C78" i="189" s="1"/>
  <c r="C79" i="189" s="1"/>
  <c r="C80" i="189" s="1"/>
  <c r="C81" i="189" s="1"/>
  <c r="C82" i="189" s="1"/>
  <c r="C83" i="189" s="1"/>
  <c r="C84" i="189" s="1"/>
  <c r="C85" i="189" s="1"/>
  <c r="C86" i="189" s="1"/>
  <c r="C87" i="189" s="1"/>
  <c r="C88" i="189" s="1"/>
  <c r="K27" i="189"/>
  <c r="G27" i="189"/>
  <c r="F27" i="189"/>
  <c r="E27" i="189"/>
  <c r="D27" i="189"/>
  <c r="C27" i="189"/>
  <c r="K26" i="189"/>
  <c r="B26" i="189"/>
  <c r="K24" i="189"/>
  <c r="B24" i="189"/>
  <c r="K23" i="189"/>
  <c r="K22" i="189"/>
  <c r="E22" i="189"/>
  <c r="D22" i="189"/>
  <c r="C22" i="189"/>
  <c r="B22" i="189"/>
  <c r="K21" i="189"/>
  <c r="K20" i="189"/>
  <c r="E20" i="189"/>
  <c r="D20" i="189"/>
  <c r="C20" i="189"/>
  <c r="B20" i="189"/>
  <c r="K19" i="189"/>
  <c r="K18" i="189"/>
  <c r="E18" i="189"/>
  <c r="D18" i="189"/>
  <c r="C18" i="189"/>
  <c r="B18" i="189"/>
  <c r="K17" i="189"/>
  <c r="K16" i="189"/>
  <c r="K15" i="189"/>
  <c r="E15" i="189"/>
  <c r="D15" i="189"/>
  <c r="C15" i="189"/>
  <c r="B15" i="189"/>
  <c r="K14" i="189"/>
  <c r="K13" i="189"/>
  <c r="F13" i="189"/>
  <c r="E13" i="189"/>
  <c r="D13" i="189"/>
  <c r="C13" i="189"/>
  <c r="B13" i="189"/>
  <c r="K12" i="189"/>
  <c r="K11" i="189"/>
  <c r="E16" i="189"/>
  <c r="E11" i="189"/>
  <c r="D11" i="189"/>
  <c r="C11" i="189"/>
  <c r="B11" i="189"/>
  <c r="F9" i="189"/>
  <c r="E9" i="189"/>
  <c r="D9" i="189"/>
  <c r="C9" i="189"/>
  <c r="B9" i="189"/>
  <c r="G3" i="189"/>
  <c r="G2" i="189"/>
  <c r="F2" i="189"/>
  <c r="E2" i="189"/>
  <c r="K44" i="188"/>
  <c r="K43" i="188"/>
  <c r="K42" i="188"/>
  <c r="K41" i="188"/>
  <c r="K40" i="188"/>
  <c r="K39" i="188"/>
  <c r="K38" i="188"/>
  <c r="K37" i="188"/>
  <c r="K36" i="188"/>
  <c r="K35" i="188"/>
  <c r="K34" i="188"/>
  <c r="K33" i="188"/>
  <c r="K32" i="188"/>
  <c r="K31" i="188"/>
  <c r="K30" i="188"/>
  <c r="K29" i="188"/>
  <c r="K28" i="188"/>
  <c r="C29" i="188"/>
  <c r="C30" i="188" s="1"/>
  <c r="C31" i="188" s="1"/>
  <c r="C32" i="188" s="1"/>
  <c r="C33" i="188" s="1"/>
  <c r="C34" i="188" s="1"/>
  <c r="C35" i="188" s="1"/>
  <c r="C36" i="188" s="1"/>
  <c r="C37" i="188" s="1"/>
  <c r="C38" i="188" s="1"/>
  <c r="C39" i="188" s="1"/>
  <c r="C40" i="188" s="1"/>
  <c r="C41" i="188" s="1"/>
  <c r="C42" i="188" s="1"/>
  <c r="C43" i="188" s="1"/>
  <c r="C44" i="188" s="1"/>
  <c r="C45" i="188" s="1"/>
  <c r="C46" i="188" s="1"/>
  <c r="C47" i="188" s="1"/>
  <c r="C48" i="188" s="1"/>
  <c r="C49" i="188" s="1"/>
  <c r="C50" i="188" s="1"/>
  <c r="C51" i="188" s="1"/>
  <c r="C52" i="188" s="1"/>
  <c r="C53" i="188" s="1"/>
  <c r="C54" i="188" s="1"/>
  <c r="C55" i="188" s="1"/>
  <c r="C56" i="188" s="1"/>
  <c r="C57" i="188" s="1"/>
  <c r="C58" i="188" s="1"/>
  <c r="C59" i="188" s="1"/>
  <c r="C60" i="188" s="1"/>
  <c r="C61" i="188" s="1"/>
  <c r="C62" i="188" s="1"/>
  <c r="C63" i="188" s="1"/>
  <c r="C64" i="188" s="1"/>
  <c r="C65" i="188" s="1"/>
  <c r="C66" i="188" s="1"/>
  <c r="C67" i="188" s="1"/>
  <c r="C68" i="188" s="1"/>
  <c r="C69" i="188" s="1"/>
  <c r="C70" i="188" s="1"/>
  <c r="C71" i="188" s="1"/>
  <c r="C72" i="188" s="1"/>
  <c r="C73" i="188" s="1"/>
  <c r="C74" i="188" s="1"/>
  <c r="C75" i="188" s="1"/>
  <c r="C76" i="188" s="1"/>
  <c r="C77" i="188" s="1"/>
  <c r="C78" i="188" s="1"/>
  <c r="C79" i="188" s="1"/>
  <c r="C80" i="188" s="1"/>
  <c r="C81" i="188" s="1"/>
  <c r="C82" i="188" s="1"/>
  <c r="C83" i="188" s="1"/>
  <c r="C84" i="188" s="1"/>
  <c r="C85" i="188" s="1"/>
  <c r="C86" i="188" s="1"/>
  <c r="C87" i="188" s="1"/>
  <c r="C88" i="188" s="1"/>
  <c r="K27" i="188"/>
  <c r="G27" i="188"/>
  <c r="F27" i="188"/>
  <c r="E27" i="188"/>
  <c r="D27" i="188"/>
  <c r="C27" i="188"/>
  <c r="K26" i="188"/>
  <c r="B26" i="188"/>
  <c r="B24" i="188"/>
  <c r="E22" i="188"/>
  <c r="D22" i="188"/>
  <c r="C22" i="188"/>
  <c r="B22" i="188"/>
  <c r="E20" i="188"/>
  <c r="D20" i="188"/>
  <c r="C20" i="188"/>
  <c r="B20" i="188"/>
  <c r="E18" i="188"/>
  <c r="D18" i="188"/>
  <c r="C18" i="188"/>
  <c r="B18" i="188"/>
  <c r="K15" i="188"/>
  <c r="E16" i="188"/>
  <c r="E15" i="188"/>
  <c r="D15" i="188"/>
  <c r="C15" i="188"/>
  <c r="B15" i="188"/>
  <c r="K14" i="188"/>
  <c r="K13" i="188"/>
  <c r="E13" i="188"/>
  <c r="D13" i="188"/>
  <c r="C13" i="188"/>
  <c r="B13" i="188"/>
  <c r="K12" i="188"/>
  <c r="K11" i="188"/>
  <c r="E11" i="188"/>
  <c r="D11" i="188"/>
  <c r="C11" i="188"/>
  <c r="B11" i="188"/>
  <c r="E9" i="188"/>
  <c r="D9" i="188"/>
  <c r="C9" i="188"/>
  <c r="B9" i="188"/>
  <c r="G3" i="188"/>
  <c r="G2" i="188"/>
  <c r="J46" i="187"/>
  <c r="J45" i="187"/>
  <c r="J44" i="187"/>
  <c r="J43" i="187"/>
  <c r="J42" i="187"/>
  <c r="J41" i="187"/>
  <c r="J40" i="187"/>
  <c r="J39" i="187"/>
  <c r="J38" i="187"/>
  <c r="J37" i="187"/>
  <c r="J36" i="187"/>
  <c r="J35" i="187"/>
  <c r="J34" i="187"/>
  <c r="J33" i="187"/>
  <c r="J32" i="187"/>
  <c r="J31" i="187"/>
  <c r="J30" i="187"/>
  <c r="J29" i="187"/>
  <c r="F29" i="187"/>
  <c r="E29" i="187"/>
  <c r="D29" i="187"/>
  <c r="C29" i="187"/>
  <c r="B28" i="187"/>
  <c r="B26" i="187"/>
  <c r="E24" i="187"/>
  <c r="D24" i="187"/>
  <c r="C24" i="187"/>
  <c r="B24" i="187"/>
  <c r="E22" i="187"/>
  <c r="D22" i="187"/>
  <c r="C22" i="187"/>
  <c r="B22" i="187"/>
  <c r="E20" i="187"/>
  <c r="D20" i="187"/>
  <c r="C20" i="187"/>
  <c r="B20" i="187"/>
  <c r="K17" i="187"/>
  <c r="F17" i="187"/>
  <c r="E17" i="187"/>
  <c r="D17" i="187"/>
  <c r="C17" i="187"/>
  <c r="B17" i="187"/>
  <c r="K16" i="187"/>
  <c r="K15" i="187"/>
  <c r="E15" i="187"/>
  <c r="D15" i="187"/>
  <c r="C15" i="187"/>
  <c r="B15" i="187"/>
  <c r="K14" i="187"/>
  <c r="K13" i="187"/>
  <c r="E13" i="187"/>
  <c r="D13" i="187"/>
  <c r="C13" i="187"/>
  <c r="B13" i="187"/>
  <c r="F9" i="187"/>
  <c r="E9" i="187"/>
  <c r="D9" i="187"/>
  <c r="C9" i="187"/>
  <c r="B9" i="187"/>
  <c r="G3" i="187"/>
  <c r="G2" i="187"/>
  <c r="F2" i="187"/>
  <c r="E2" i="187"/>
  <c r="E18" i="187" l="1"/>
  <c r="C31" i="187"/>
  <c r="C32" i="187" s="1"/>
  <c r="C33" i="187" s="1"/>
  <c r="C34" i="187" s="1"/>
  <c r="C35" i="187" s="1"/>
  <c r="C36" i="187" s="1"/>
  <c r="C37" i="187" s="1"/>
  <c r="C38" i="187" s="1"/>
  <c r="C39" i="187" s="1"/>
  <c r="C40" i="187" s="1"/>
  <c r="C41" i="187" s="1"/>
  <c r="C42" i="187" s="1"/>
  <c r="C43" i="187" s="1"/>
  <c r="C44" i="187" s="1"/>
  <c r="C45" i="187" s="1"/>
  <c r="C46" i="187" s="1"/>
  <c r="C47" i="187" s="1"/>
  <c r="C48" i="187" s="1"/>
  <c r="C49" i="187" s="1"/>
  <c r="C50" i="187" s="1"/>
  <c r="C51" i="187" s="1"/>
  <c r="C52" i="187" s="1"/>
  <c r="C53" i="187" s="1"/>
  <c r="C54" i="187" s="1"/>
  <c r="C55" i="187" s="1"/>
  <c r="C56" i="187" s="1"/>
  <c r="C57" i="187" s="1"/>
  <c r="C58" i="187" s="1"/>
  <c r="C59" i="187" s="1"/>
  <c r="C60" i="187" s="1"/>
  <c r="C61" i="187" s="1"/>
  <c r="C62" i="187" s="1"/>
  <c r="C63" i="187" s="1"/>
  <c r="C64" i="187" s="1"/>
  <c r="C65" i="187" s="1"/>
  <c r="C66" i="187" s="1"/>
  <c r="C67" i="187" s="1"/>
  <c r="C68" i="187" s="1"/>
  <c r="C69" i="187" s="1"/>
  <c r="C70" i="187" s="1"/>
  <c r="C71" i="187" s="1"/>
  <c r="C72" i="187" s="1"/>
  <c r="C73" i="187" s="1"/>
  <c r="C74" i="187" s="1"/>
  <c r="C75" i="187" s="1"/>
  <c r="C76" i="187" s="1"/>
  <c r="C77" i="187" s="1"/>
  <c r="C78" i="187" s="1"/>
  <c r="C79" i="187" s="1"/>
  <c r="C80" i="187" s="1"/>
  <c r="C81" i="187" s="1"/>
  <c r="C82" i="187" s="1"/>
  <c r="C83" i="187" s="1"/>
  <c r="C84" i="187" s="1"/>
  <c r="C85" i="187" s="1"/>
  <c r="C86" i="187" s="1"/>
  <c r="C87" i="187" s="1"/>
  <c r="C88" i="187" s="1"/>
  <c r="C89" i="187" s="1"/>
  <c r="C90" i="187" s="1"/>
  <c r="E3" i="188"/>
  <c r="F3" i="188" s="1"/>
  <c r="E3" i="189"/>
  <c r="F3" i="189" s="1"/>
  <c r="E67" i="189"/>
  <c r="E71" i="189"/>
  <c r="E75" i="189"/>
  <c r="E79" i="189"/>
  <c r="E83" i="189"/>
  <c r="E87" i="189"/>
  <c r="E65" i="189"/>
  <c r="E69" i="189"/>
  <c r="E73" i="189"/>
  <c r="E77" i="189"/>
  <c r="E81" i="189"/>
  <c r="E85" i="189"/>
  <c r="E66" i="189"/>
  <c r="E70" i="189"/>
  <c r="E74" i="189"/>
  <c r="E78" i="189"/>
  <c r="E82" i="189"/>
  <c r="E86" i="189"/>
  <c r="E3" i="187"/>
  <c r="E19" i="187" l="1"/>
  <c r="E17" i="188"/>
  <c r="G28" i="188"/>
  <c r="F3" i="187"/>
  <c r="E17" i="189"/>
  <c r="G28" i="189"/>
  <c r="E84" i="189"/>
  <c r="E76" i="189"/>
  <c r="E68" i="189"/>
  <c r="E88" i="189"/>
  <c r="E80" i="189"/>
  <c r="E72" i="189"/>
  <c r="F30" i="187"/>
  <c r="F20" i="187" l="1"/>
  <c r="D31" i="187"/>
  <c r="F7" i="187"/>
  <c r="D31" i="188"/>
  <c r="D35" i="188"/>
  <c r="D39" i="188"/>
  <c r="D43" i="188"/>
  <c r="D47" i="188"/>
  <c r="D51" i="188"/>
  <c r="D55" i="188"/>
  <c r="D59" i="188"/>
  <c r="D63" i="188"/>
  <c r="D67" i="188"/>
  <c r="D71" i="188"/>
  <c r="D75" i="188"/>
  <c r="D79" i="188"/>
  <c r="D83" i="188"/>
  <c r="D87" i="188"/>
  <c r="D41" i="188"/>
  <c r="D49" i="188"/>
  <c r="D53" i="188"/>
  <c r="D61" i="188"/>
  <c r="D69" i="188"/>
  <c r="D77" i="188"/>
  <c r="D85" i="188"/>
  <c r="D34" i="188"/>
  <c r="D42" i="188"/>
  <c r="D50" i="188"/>
  <c r="D58" i="188"/>
  <c r="D66" i="188"/>
  <c r="D74" i="188"/>
  <c r="D82" i="188"/>
  <c r="D32" i="188"/>
  <c r="D36" i="188"/>
  <c r="D40" i="188"/>
  <c r="D44" i="188"/>
  <c r="D48" i="188"/>
  <c r="D52" i="188"/>
  <c r="D56" i="188"/>
  <c r="D60" i="188"/>
  <c r="D64" i="188"/>
  <c r="D68" i="188"/>
  <c r="D72" i="188"/>
  <c r="D76" i="188"/>
  <c r="D80" i="188"/>
  <c r="D84" i="188"/>
  <c r="D88" i="188"/>
  <c r="D33" i="188"/>
  <c r="D37" i="188"/>
  <c r="D45" i="188"/>
  <c r="D57" i="188"/>
  <c r="D65" i="188"/>
  <c r="D73" i="188"/>
  <c r="D81" i="188"/>
  <c r="D29" i="188"/>
  <c r="D30" i="188"/>
  <c r="D38" i="188"/>
  <c r="D46" i="188"/>
  <c r="D54" i="188"/>
  <c r="D62" i="188"/>
  <c r="D70" i="188"/>
  <c r="D78" i="188"/>
  <c r="D86" i="188"/>
  <c r="F18" i="188"/>
  <c r="F18" i="189"/>
  <c r="F29" i="189"/>
  <c r="F8" i="187" l="1"/>
  <c r="E82" i="187" s="1"/>
  <c r="E89" i="188"/>
  <c r="D70" i="187" l="1"/>
  <c r="E47" i="187"/>
  <c r="D66" i="187"/>
  <c r="D34" i="187"/>
  <c r="D85" i="187"/>
  <c r="D63" i="187"/>
  <c r="E57" i="187"/>
  <c r="E72" i="187"/>
  <c r="E70" i="187"/>
  <c r="D45" i="187"/>
  <c r="D52" i="187"/>
  <c r="E34" i="187"/>
  <c r="E84" i="187"/>
  <c r="E71" i="187"/>
  <c r="D38" i="187"/>
  <c r="E88" i="187"/>
  <c r="D79" i="187"/>
  <c r="D43" i="187"/>
  <c r="E66" i="187"/>
  <c r="D89" i="187"/>
  <c r="E76" i="187"/>
  <c r="E83" i="187"/>
  <c r="D82" i="187"/>
  <c r="E44" i="187"/>
  <c r="D37" i="187"/>
  <c r="D32" i="187"/>
  <c r="D55" i="187"/>
  <c r="E78" i="187"/>
  <c r="E42" i="187"/>
  <c r="D84" i="187"/>
  <c r="E46" i="187"/>
  <c r="D49" i="187"/>
  <c r="E40" i="187"/>
  <c r="E75" i="187"/>
  <c r="D78" i="187"/>
  <c r="D42" i="187"/>
  <c r="E49" i="187"/>
  <c r="D61" i="187"/>
  <c r="D72" i="187"/>
  <c r="D76" i="187"/>
  <c r="D73" i="187"/>
  <c r="E60" i="187"/>
  <c r="D44" i="187"/>
  <c r="D90" i="187"/>
  <c r="D65" i="187"/>
  <c r="E39" i="187"/>
  <c r="D58" i="187"/>
  <c r="E81" i="187"/>
  <c r="E45" i="187"/>
  <c r="D53" i="187"/>
  <c r="D60" i="187"/>
  <c r="E55" i="187"/>
  <c r="D67" i="187"/>
  <c r="E68" i="187"/>
  <c r="E86" i="187"/>
  <c r="E65" i="187"/>
  <c r="E50" i="187"/>
  <c r="D77" i="187"/>
  <c r="D57" i="187"/>
  <c r="E80" i="187"/>
  <c r="E48" i="187"/>
  <c r="E54" i="187"/>
  <c r="D87" i="187"/>
  <c r="E61" i="187"/>
  <c r="E56" i="187"/>
  <c r="D68" i="187"/>
  <c r="E32" i="187"/>
  <c r="E63" i="187"/>
  <c r="D86" i="187"/>
  <c r="D71" i="187"/>
  <c r="D50" i="187"/>
  <c r="D35" i="187"/>
  <c r="E73" i="187"/>
  <c r="E58" i="187"/>
  <c r="E37" i="187"/>
  <c r="D41" i="187"/>
  <c r="E64" i="187"/>
  <c r="D88" i="187"/>
  <c r="D48" i="187"/>
  <c r="E67" i="187"/>
  <c r="E35" i="187"/>
  <c r="D74" i="187"/>
  <c r="E79" i="187"/>
  <c r="D46" i="187"/>
  <c r="E90" i="187"/>
  <c r="E69" i="187"/>
  <c r="D59" i="187"/>
  <c r="E36" i="187"/>
  <c r="D64" i="187"/>
  <c r="E87" i="187"/>
  <c r="E43" i="187"/>
  <c r="D83" i="187"/>
  <c r="D62" i="187"/>
  <c r="D47" i="187"/>
  <c r="E85" i="187"/>
  <c r="E33" i="187"/>
  <c r="D56" i="187"/>
  <c r="D51" i="187"/>
  <c r="E89" i="187"/>
  <c r="E74" i="187"/>
  <c r="E53" i="187"/>
  <c r="E38" i="187"/>
  <c r="D69" i="187"/>
  <c r="D33" i="187"/>
  <c r="E52" i="187"/>
  <c r="D80" i="187"/>
  <c r="D40" i="187"/>
  <c r="E59" i="187"/>
  <c r="D75" i="187"/>
  <c r="D54" i="187"/>
  <c r="D39" i="187"/>
  <c r="E77" i="187"/>
  <c r="E62" i="187"/>
  <c r="E41" i="187"/>
  <c r="D81" i="187"/>
  <c r="D36" i="187"/>
  <c r="E51" i="187"/>
  <c r="D88" i="189"/>
  <c r="K44" i="186" l="1"/>
  <c r="K43" i="186"/>
  <c r="K42" i="186"/>
  <c r="K41" i="186"/>
  <c r="K40" i="186"/>
  <c r="K39" i="186"/>
  <c r="K38" i="186"/>
  <c r="K37" i="186"/>
  <c r="K36" i="186"/>
  <c r="K35" i="186"/>
  <c r="K34" i="186"/>
  <c r="K33" i="186"/>
  <c r="K32" i="186"/>
  <c r="K31" i="186"/>
  <c r="K30" i="186"/>
  <c r="K29" i="186"/>
  <c r="K28" i="186"/>
  <c r="C28" i="186"/>
  <c r="C29" i="186" s="1"/>
  <c r="C30" i="186" s="1"/>
  <c r="C31" i="186" s="1"/>
  <c r="C32" i="186" s="1"/>
  <c r="C33" i="186" s="1"/>
  <c r="C34" i="186" s="1"/>
  <c r="C35" i="186" s="1"/>
  <c r="C36" i="186" s="1"/>
  <c r="C37" i="186" s="1"/>
  <c r="C38" i="186" s="1"/>
  <c r="C39" i="186" s="1"/>
  <c r="C40" i="186" s="1"/>
  <c r="C41" i="186" s="1"/>
  <c r="C42" i="186" s="1"/>
  <c r="C43" i="186" s="1"/>
  <c r="C44" i="186" s="1"/>
  <c r="C45" i="186" s="1"/>
  <c r="C46" i="186" s="1"/>
  <c r="C47" i="186" s="1"/>
  <c r="C48" i="186" s="1"/>
  <c r="C49" i="186" s="1"/>
  <c r="C50" i="186" s="1"/>
  <c r="C51" i="186" s="1"/>
  <c r="C52" i="186" s="1"/>
  <c r="C53" i="186" s="1"/>
  <c r="C54" i="186" s="1"/>
  <c r="C55" i="186" s="1"/>
  <c r="C56" i="186" s="1"/>
  <c r="C57" i="186" s="1"/>
  <c r="C58" i="186" s="1"/>
  <c r="C59" i="186" s="1"/>
  <c r="C60" i="186" s="1"/>
  <c r="C61" i="186" s="1"/>
  <c r="C62" i="186" s="1"/>
  <c r="C63" i="186" s="1"/>
  <c r="C64" i="186" s="1"/>
  <c r="C65" i="186" s="1"/>
  <c r="C66" i="186" s="1"/>
  <c r="C67" i="186" s="1"/>
  <c r="C68" i="186" s="1"/>
  <c r="C69" i="186" s="1"/>
  <c r="C70" i="186" s="1"/>
  <c r="C71" i="186" s="1"/>
  <c r="C72" i="186" s="1"/>
  <c r="C73" i="186" s="1"/>
  <c r="C74" i="186" s="1"/>
  <c r="C75" i="186" s="1"/>
  <c r="C76" i="186" s="1"/>
  <c r="C77" i="186" s="1"/>
  <c r="C78" i="186" s="1"/>
  <c r="C79" i="186" s="1"/>
  <c r="C80" i="186" s="1"/>
  <c r="C81" i="186" s="1"/>
  <c r="C82" i="186" s="1"/>
  <c r="C83" i="186" s="1"/>
  <c r="C84" i="186" s="1"/>
  <c r="C85" i="186" s="1"/>
  <c r="C86" i="186" s="1"/>
  <c r="C87" i="186" s="1"/>
  <c r="C88" i="186" s="1"/>
  <c r="K27" i="186"/>
  <c r="G27" i="186"/>
  <c r="F27" i="186"/>
  <c r="E27" i="186"/>
  <c r="D27" i="186"/>
  <c r="C27" i="186"/>
  <c r="K26" i="186"/>
  <c r="B26" i="186"/>
  <c r="K24" i="186"/>
  <c r="B24" i="186"/>
  <c r="K23" i="186"/>
  <c r="K22" i="186"/>
  <c r="E22" i="186"/>
  <c r="D22" i="186"/>
  <c r="C22" i="186"/>
  <c r="B22" i="186"/>
  <c r="K21" i="186"/>
  <c r="K20" i="186"/>
  <c r="E20" i="186"/>
  <c r="D20" i="186"/>
  <c r="C20" i="186"/>
  <c r="B20" i="186"/>
  <c r="K19" i="186"/>
  <c r="K18" i="186"/>
  <c r="E18" i="186"/>
  <c r="D18" i="186"/>
  <c r="C18" i="186"/>
  <c r="B18" i="186"/>
  <c r="K17" i="186"/>
  <c r="K16" i="186"/>
  <c r="K15" i="186"/>
  <c r="F15" i="186"/>
  <c r="E15" i="186"/>
  <c r="D15" i="186"/>
  <c r="C15" i="186"/>
  <c r="B15" i="186"/>
  <c r="K14" i="186"/>
  <c r="K13" i="186"/>
  <c r="F13" i="186"/>
  <c r="E13" i="186"/>
  <c r="D13" i="186"/>
  <c r="C13" i="186"/>
  <c r="B13" i="186"/>
  <c r="K12" i="186"/>
  <c r="K11" i="186"/>
  <c r="F11" i="186"/>
  <c r="E16" i="186" s="1"/>
  <c r="E11" i="186"/>
  <c r="D11" i="186"/>
  <c r="C11" i="186"/>
  <c r="B11" i="186"/>
  <c r="F9" i="186"/>
  <c r="E9" i="186"/>
  <c r="D9" i="186"/>
  <c r="C9" i="186"/>
  <c r="B9" i="186"/>
  <c r="G3" i="186"/>
  <c r="G2" i="186"/>
  <c r="F2" i="186"/>
  <c r="E2" i="186"/>
  <c r="E3" i="186" l="1"/>
  <c r="G28" i="186" s="1"/>
  <c r="F3" i="186" l="1"/>
  <c r="E17" i="186"/>
  <c r="E56" i="186"/>
  <c r="E80" i="186"/>
  <c r="E88" i="186"/>
  <c r="E64" i="186"/>
  <c r="E48" i="186"/>
  <c r="E43" i="186"/>
  <c r="E72" i="186"/>
  <c r="E44" i="186"/>
  <c r="E78" i="186"/>
  <c r="E62" i="186"/>
  <c r="E46" i="186"/>
  <c r="E73" i="186"/>
  <c r="E57" i="186"/>
  <c r="E41" i="186"/>
  <c r="E75" i="186"/>
  <c r="E59" i="186"/>
  <c r="E42" i="186"/>
  <c r="E84" i="186"/>
  <c r="E76" i="186"/>
  <c r="E68" i="186"/>
  <c r="E60" i="186"/>
  <c r="E52" i="186"/>
  <c r="E86" i="186"/>
  <c r="E70" i="186"/>
  <c r="E54" i="186"/>
  <c r="E81" i="186"/>
  <c r="E65" i="186"/>
  <c r="E49" i="186"/>
  <c r="E83" i="186"/>
  <c r="E67" i="186"/>
  <c r="E51" i="186"/>
  <c r="E82" i="186"/>
  <c r="E74" i="186"/>
  <c r="E66" i="186"/>
  <c r="E58" i="186"/>
  <c r="E50" i="186"/>
  <c r="E85" i="186"/>
  <c r="E77" i="186"/>
  <c r="E69" i="186"/>
  <c r="E61" i="186"/>
  <c r="E53" i="186"/>
  <c r="E45" i="186"/>
  <c r="E87" i="186"/>
  <c r="E79" i="186"/>
  <c r="E71" i="186"/>
  <c r="E63" i="186"/>
  <c r="E55" i="186"/>
  <c r="E47" i="186"/>
  <c r="F29" i="186" l="1"/>
  <c r="F18" i="186"/>
  <c r="D89" i="188"/>
  <c r="F7" i="188" s="1"/>
  <c r="F30" i="188" l="1"/>
  <c r="G30" i="188" s="1"/>
  <c r="F31" i="188"/>
  <c r="G31" i="188" s="1"/>
  <c r="F35" i="188"/>
  <c r="G35" i="188" s="1"/>
  <c r="F39" i="188"/>
  <c r="G39" i="188" s="1"/>
  <c r="F43" i="188"/>
  <c r="G43" i="188" s="1"/>
  <c r="F47" i="188"/>
  <c r="G47" i="188" s="1"/>
  <c r="F51" i="188"/>
  <c r="G51" i="188" s="1"/>
  <c r="F55" i="188"/>
  <c r="G55" i="188" s="1"/>
  <c r="F59" i="188"/>
  <c r="G59" i="188" s="1"/>
  <c r="F63" i="188"/>
  <c r="G63" i="188" s="1"/>
  <c r="F67" i="188"/>
  <c r="G67" i="188" s="1"/>
  <c r="F71" i="188"/>
  <c r="G71" i="188" s="1"/>
  <c r="F75" i="188"/>
  <c r="G75" i="188" s="1"/>
  <c r="F79" i="188"/>
  <c r="G79" i="188" s="1"/>
  <c r="F83" i="188"/>
  <c r="G83" i="188" s="1"/>
  <c r="F87" i="188"/>
  <c r="G87" i="188" s="1"/>
  <c r="F37" i="188"/>
  <c r="G37" i="188" s="1"/>
  <c r="F41" i="188"/>
  <c r="G41" i="188" s="1"/>
  <c r="F49" i="188"/>
  <c r="G49" i="188" s="1"/>
  <c r="F57" i="188"/>
  <c r="G57" i="188" s="1"/>
  <c r="F65" i="188"/>
  <c r="G65" i="188" s="1"/>
  <c r="F73" i="188"/>
  <c r="G73" i="188" s="1"/>
  <c r="F81" i="188"/>
  <c r="G81" i="188" s="1"/>
  <c r="F29" i="188"/>
  <c r="F34" i="188"/>
  <c r="G34" i="188" s="1"/>
  <c r="F42" i="188"/>
  <c r="G42" i="188" s="1"/>
  <c r="F46" i="188"/>
  <c r="G46" i="188" s="1"/>
  <c r="F54" i="188"/>
  <c r="G54" i="188" s="1"/>
  <c r="F62" i="188"/>
  <c r="G62" i="188" s="1"/>
  <c r="F70" i="188"/>
  <c r="G70" i="188" s="1"/>
  <c r="F78" i="188"/>
  <c r="G78" i="188" s="1"/>
  <c r="F86" i="188"/>
  <c r="G86" i="188" s="1"/>
  <c r="F32" i="188"/>
  <c r="G32" i="188" s="1"/>
  <c r="F36" i="188"/>
  <c r="G36" i="188" s="1"/>
  <c r="F40" i="188"/>
  <c r="G40" i="188" s="1"/>
  <c r="F44" i="188"/>
  <c r="G44" i="188" s="1"/>
  <c r="F48" i="188"/>
  <c r="G48" i="188" s="1"/>
  <c r="F52" i="188"/>
  <c r="G52" i="188" s="1"/>
  <c r="F56" i="188"/>
  <c r="G56" i="188" s="1"/>
  <c r="F60" i="188"/>
  <c r="G60" i="188" s="1"/>
  <c r="F64" i="188"/>
  <c r="G64" i="188" s="1"/>
  <c r="F68" i="188"/>
  <c r="G68" i="188" s="1"/>
  <c r="F72" i="188"/>
  <c r="G72" i="188" s="1"/>
  <c r="F76" i="188"/>
  <c r="G76" i="188" s="1"/>
  <c r="F80" i="188"/>
  <c r="G80" i="188" s="1"/>
  <c r="F84" i="188"/>
  <c r="G84" i="188" s="1"/>
  <c r="F88" i="188"/>
  <c r="G88" i="188" s="1"/>
  <c r="F33" i="188"/>
  <c r="G33" i="188" s="1"/>
  <c r="F45" i="188"/>
  <c r="G45" i="188" s="1"/>
  <c r="F53" i="188"/>
  <c r="G53" i="188" s="1"/>
  <c r="F61" i="188"/>
  <c r="G61" i="188" s="1"/>
  <c r="F69" i="188"/>
  <c r="G69" i="188" s="1"/>
  <c r="F77" i="188"/>
  <c r="G77" i="188" s="1"/>
  <c r="F85" i="188"/>
  <c r="G85" i="188" s="1"/>
  <c r="F38" i="188"/>
  <c r="G38" i="188" s="1"/>
  <c r="F50" i="188"/>
  <c r="G50" i="188" s="1"/>
  <c r="F58" i="188"/>
  <c r="G58" i="188" s="1"/>
  <c r="F66" i="188"/>
  <c r="G66" i="188" s="1"/>
  <c r="F74" i="188"/>
  <c r="G74" i="188" s="1"/>
  <c r="F82" i="188"/>
  <c r="G82" i="188" s="1"/>
  <c r="G29" i="188" l="1"/>
  <c r="G89" i="188" s="1"/>
  <c r="F20" i="188" s="1"/>
  <c r="F22" i="188" s="1"/>
  <c r="F89" i="188"/>
  <c r="F24" i="188" l="1"/>
  <c r="D88" i="186" l="1"/>
  <c r="H3" i="189" l="1"/>
  <c r="E41" i="189" l="1"/>
  <c r="E44" i="189"/>
  <c r="E34" i="189"/>
  <c r="E48" i="189"/>
  <c r="E51" i="189"/>
  <c r="E52" i="189"/>
  <c r="E47" i="189"/>
  <c r="E43" i="189"/>
  <c r="E60" i="189"/>
  <c r="E32" i="189"/>
  <c r="E42" i="189"/>
  <c r="E56" i="189"/>
  <c r="E37" i="189"/>
  <c r="E30" i="189"/>
  <c r="E63" i="189"/>
  <c r="E31" i="189"/>
  <c r="E39" i="189"/>
  <c r="E38" i="189"/>
  <c r="E40" i="189"/>
  <c r="E59" i="189"/>
  <c r="E64" i="189"/>
  <c r="E54" i="189"/>
  <c r="E50" i="189"/>
  <c r="E62" i="189"/>
  <c r="E36" i="189"/>
  <c r="E57" i="189"/>
  <c r="E58" i="189"/>
  <c r="E45" i="189"/>
  <c r="E33" i="189"/>
  <c r="E46" i="189"/>
  <c r="E55" i="189"/>
  <c r="E35" i="189"/>
  <c r="E53" i="189"/>
  <c r="E61" i="189"/>
  <c r="E49" i="189"/>
  <c r="E29" i="189"/>
  <c r="D29" i="189" l="1"/>
  <c r="E89" i="189"/>
  <c r="G29" i="189" l="1"/>
  <c r="F30" i="189"/>
  <c r="D30" i="189" s="1"/>
  <c r="G30" i="189" s="1"/>
  <c r="F31" i="189" l="1"/>
  <c r="D31" i="189" s="1"/>
  <c r="G31" i="189" s="1"/>
  <c r="AA15" i="175"/>
  <c r="AA16" i="175"/>
  <c r="AA17" i="175"/>
  <c r="AA18" i="175"/>
  <c r="AA19" i="175"/>
  <c r="AA20" i="175"/>
  <c r="AA21" i="175"/>
  <c r="AA22" i="175"/>
  <c r="AA23" i="175"/>
  <c r="AA24" i="175"/>
  <c r="AA25" i="175"/>
  <c r="AA26" i="175"/>
  <c r="AA27" i="175"/>
  <c r="AA28" i="175"/>
  <c r="AA29" i="175"/>
  <c r="AA30" i="175"/>
  <c r="AA31" i="175"/>
  <c r="AA32" i="175"/>
  <c r="AA33" i="175"/>
  <c r="AA34" i="175"/>
  <c r="F32" i="189" l="1"/>
  <c r="D32" i="189" s="1"/>
  <c r="G32" i="189" s="1"/>
  <c r="AA45" i="175"/>
  <c r="AA44" i="175"/>
  <c r="AA43" i="175"/>
  <c r="AA42" i="175"/>
  <c r="AA41" i="175"/>
  <c r="AA40" i="175"/>
  <c r="AA39" i="175"/>
  <c r="AA38" i="175"/>
  <c r="C31" i="175"/>
  <c r="C32" i="175" s="1"/>
  <c r="C33" i="175" s="1"/>
  <c r="C34" i="175" s="1"/>
  <c r="C35" i="175" s="1"/>
  <c r="C36" i="175" s="1"/>
  <c r="C37" i="175" s="1"/>
  <c r="C38" i="175" s="1"/>
  <c r="C39" i="175" s="1"/>
  <c r="C40" i="175" s="1"/>
  <c r="C41" i="175" s="1"/>
  <c r="C42" i="175" s="1"/>
  <c r="C43" i="175" s="1"/>
  <c r="C44" i="175" s="1"/>
  <c r="C45" i="175" s="1"/>
  <c r="C46" i="175" s="1"/>
  <c r="C47" i="175" s="1"/>
  <c r="C48" i="175" s="1"/>
  <c r="C49" i="175" s="1"/>
  <c r="C50" i="175" s="1"/>
  <c r="C51" i="175" s="1"/>
  <c r="C52" i="175" s="1"/>
  <c r="C53" i="175" s="1"/>
  <c r="C54" i="175" s="1"/>
  <c r="C55" i="175" s="1"/>
  <c r="C56" i="175" s="1"/>
  <c r="C57" i="175" s="1"/>
  <c r="C58" i="175" s="1"/>
  <c r="C59" i="175" s="1"/>
  <c r="C60" i="175" s="1"/>
  <c r="C61" i="175" s="1"/>
  <c r="C62" i="175" s="1"/>
  <c r="C63" i="175" s="1"/>
  <c r="C64" i="175" s="1"/>
  <c r="C65" i="175" s="1"/>
  <c r="C66" i="175" s="1"/>
  <c r="C67" i="175" s="1"/>
  <c r="C68" i="175" s="1"/>
  <c r="C69" i="175" s="1"/>
  <c r="C70" i="175" s="1"/>
  <c r="C71" i="175" s="1"/>
  <c r="C72" i="175" s="1"/>
  <c r="C73" i="175" s="1"/>
  <c r="C74" i="175" s="1"/>
  <c r="C75" i="175" s="1"/>
  <c r="C76" i="175" s="1"/>
  <c r="C77" i="175" s="1"/>
  <c r="C78" i="175" s="1"/>
  <c r="C79" i="175" s="1"/>
  <c r="C80" i="175" s="1"/>
  <c r="C81" i="175" s="1"/>
  <c r="C82" i="175" s="1"/>
  <c r="C83" i="175" s="1"/>
  <c r="C84" i="175" s="1"/>
  <c r="C85" i="175" s="1"/>
  <c r="C86" i="175" s="1"/>
  <c r="C87" i="175" s="1"/>
  <c r="C88" i="175" s="1"/>
  <c r="C89" i="175" s="1"/>
  <c r="C90" i="175" s="1"/>
  <c r="C91" i="175" s="1"/>
  <c r="G30" i="175"/>
  <c r="F30" i="175"/>
  <c r="E30" i="175"/>
  <c r="D30" i="175"/>
  <c r="B30" i="175"/>
  <c r="B29" i="175"/>
  <c r="A26" i="175"/>
  <c r="A25" i="175"/>
  <c r="A24" i="175"/>
  <c r="A23" i="175"/>
  <c r="I22" i="175"/>
  <c r="H22" i="175"/>
  <c r="G22" i="175"/>
  <c r="F22" i="175"/>
  <c r="E22" i="175"/>
  <c r="D22" i="175"/>
  <c r="C22" i="175"/>
  <c r="B22" i="175"/>
  <c r="E20" i="175"/>
  <c r="D20" i="175"/>
  <c r="C20" i="175"/>
  <c r="B20" i="175"/>
  <c r="E18" i="175"/>
  <c r="D18" i="175"/>
  <c r="C18" i="175"/>
  <c r="B18" i="175"/>
  <c r="E16" i="175"/>
  <c r="D16" i="175"/>
  <c r="C16" i="175"/>
  <c r="B16" i="175"/>
  <c r="AA14" i="175"/>
  <c r="AA13" i="175"/>
  <c r="F13" i="175"/>
  <c r="E13" i="175"/>
  <c r="D13" i="175"/>
  <c r="C13" i="175"/>
  <c r="B13" i="175"/>
  <c r="AA12" i="175"/>
  <c r="AA11" i="175"/>
  <c r="M11" i="175"/>
  <c r="F11" i="175"/>
  <c r="E11" i="175"/>
  <c r="D11" i="175"/>
  <c r="C11" i="175"/>
  <c r="B11" i="175"/>
  <c r="AA10" i="175"/>
  <c r="AA9" i="175"/>
  <c r="M9" i="175"/>
  <c r="F9" i="175"/>
  <c r="E14" i="175" s="1"/>
  <c r="E9" i="175"/>
  <c r="D9" i="175"/>
  <c r="C9" i="175"/>
  <c r="B9" i="175"/>
  <c r="M7" i="175"/>
  <c r="F7" i="175"/>
  <c r="E7" i="175"/>
  <c r="D7" i="175"/>
  <c r="C7" i="175"/>
  <c r="B7" i="175"/>
  <c r="H5" i="175"/>
  <c r="G5" i="175"/>
  <c r="B5" i="175"/>
  <c r="K3" i="175"/>
  <c r="M3" i="175" s="1" a="1"/>
  <c r="V3" i="175" s="1"/>
  <c r="G3" i="175"/>
  <c r="G2" i="175"/>
  <c r="F2" i="175"/>
  <c r="E2" i="175"/>
  <c r="AA45" i="173"/>
  <c r="AA44" i="173"/>
  <c r="AA43" i="173"/>
  <c r="AA42" i="173"/>
  <c r="AA41" i="173"/>
  <c r="AA40" i="173"/>
  <c r="AA39" i="173"/>
  <c r="AA38" i="173"/>
  <c r="AA34" i="173"/>
  <c r="AA33" i="173"/>
  <c r="AA32" i="173"/>
  <c r="AA31" i="173"/>
  <c r="C31" i="173"/>
  <c r="C32" i="173" s="1"/>
  <c r="C33" i="173" s="1"/>
  <c r="C34" i="173" s="1"/>
  <c r="C35" i="173" s="1"/>
  <c r="C36" i="173" s="1"/>
  <c r="C37" i="173" s="1"/>
  <c r="C38" i="173" s="1"/>
  <c r="C39" i="173" s="1"/>
  <c r="C40" i="173" s="1"/>
  <c r="C41" i="173" s="1"/>
  <c r="C42" i="173" s="1"/>
  <c r="C43" i="173" s="1"/>
  <c r="C44" i="173" s="1"/>
  <c r="C45" i="173" s="1"/>
  <c r="C46" i="173" s="1"/>
  <c r="C47" i="173" s="1"/>
  <c r="C48" i="173" s="1"/>
  <c r="C49" i="173" s="1"/>
  <c r="C50" i="173" s="1"/>
  <c r="C51" i="173" s="1"/>
  <c r="C52" i="173" s="1"/>
  <c r="C53" i="173" s="1"/>
  <c r="C54" i="173" s="1"/>
  <c r="C55" i="173" s="1"/>
  <c r="C56" i="173" s="1"/>
  <c r="C57" i="173" s="1"/>
  <c r="C58" i="173" s="1"/>
  <c r="C59" i="173" s="1"/>
  <c r="C60" i="173" s="1"/>
  <c r="C61" i="173" s="1"/>
  <c r="C62" i="173" s="1"/>
  <c r="C63" i="173" s="1"/>
  <c r="C64" i="173" s="1"/>
  <c r="C65" i="173" s="1"/>
  <c r="C66" i="173" s="1"/>
  <c r="C67" i="173" s="1"/>
  <c r="C68" i="173" s="1"/>
  <c r="C69" i="173" s="1"/>
  <c r="C70" i="173" s="1"/>
  <c r="C71" i="173" s="1"/>
  <c r="C72" i="173" s="1"/>
  <c r="C73" i="173" s="1"/>
  <c r="C74" i="173" s="1"/>
  <c r="C75" i="173" s="1"/>
  <c r="C76" i="173" s="1"/>
  <c r="C77" i="173" s="1"/>
  <c r="C78" i="173" s="1"/>
  <c r="C79" i="173" s="1"/>
  <c r="C80" i="173" s="1"/>
  <c r="C81" i="173" s="1"/>
  <c r="C82" i="173" s="1"/>
  <c r="C83" i="173" s="1"/>
  <c r="C84" i="173" s="1"/>
  <c r="C85" i="173" s="1"/>
  <c r="C86" i="173" s="1"/>
  <c r="C87" i="173" s="1"/>
  <c r="C88" i="173" s="1"/>
  <c r="C89" i="173" s="1"/>
  <c r="C90" i="173" s="1"/>
  <c r="C91" i="173" s="1"/>
  <c r="AA30" i="173"/>
  <c r="G30" i="173"/>
  <c r="F30" i="173"/>
  <c r="E30" i="173"/>
  <c r="D30" i="173"/>
  <c r="B30" i="173"/>
  <c r="AA29" i="173"/>
  <c r="B29" i="173"/>
  <c r="AA28" i="173"/>
  <c r="AA27" i="173"/>
  <c r="AA26" i="173"/>
  <c r="A26" i="173"/>
  <c r="AA25" i="173"/>
  <c r="A25" i="173"/>
  <c r="AA24" i="173"/>
  <c r="A24" i="173"/>
  <c r="AA23" i="173"/>
  <c r="A23" i="173"/>
  <c r="AA22" i="173"/>
  <c r="I22" i="173"/>
  <c r="H22" i="173"/>
  <c r="G22" i="173"/>
  <c r="F22" i="173"/>
  <c r="E22" i="173"/>
  <c r="D22" i="173"/>
  <c r="C22" i="173"/>
  <c r="B22" i="173"/>
  <c r="AA21" i="173"/>
  <c r="AA20" i="173"/>
  <c r="E20" i="173"/>
  <c r="D20" i="173"/>
  <c r="C20" i="173"/>
  <c r="B20" i="173"/>
  <c r="AA19" i="173"/>
  <c r="AA18" i="173"/>
  <c r="E18" i="173"/>
  <c r="D18" i="173"/>
  <c r="C18" i="173"/>
  <c r="B18" i="173"/>
  <c r="AA17" i="173"/>
  <c r="AA16" i="173"/>
  <c r="E16" i="173"/>
  <c r="D16" i="173"/>
  <c r="C16" i="173"/>
  <c r="B16" i="173"/>
  <c r="AA15" i="173"/>
  <c r="AA14" i="173"/>
  <c r="AA13" i="173"/>
  <c r="F13" i="173"/>
  <c r="D91" i="173" s="1"/>
  <c r="E13" i="173"/>
  <c r="D13" i="173"/>
  <c r="C13" i="173"/>
  <c r="B13" i="173"/>
  <c r="AA12" i="173"/>
  <c r="AA11" i="173"/>
  <c r="M11" i="173"/>
  <c r="F11" i="173"/>
  <c r="E11" i="173"/>
  <c r="D11" i="173"/>
  <c r="C11" i="173"/>
  <c r="B11" i="173"/>
  <c r="AA10" i="173"/>
  <c r="AA9" i="173"/>
  <c r="M9" i="173"/>
  <c r="F9" i="173"/>
  <c r="E14" i="173" s="1"/>
  <c r="E9" i="173"/>
  <c r="D9" i="173"/>
  <c r="C9" i="173"/>
  <c r="B9" i="173"/>
  <c r="M7" i="173"/>
  <c r="F7" i="173"/>
  <c r="G7" i="173" s="1"/>
  <c r="E7" i="173"/>
  <c r="D7" i="173"/>
  <c r="C7" i="173"/>
  <c r="B7" i="173"/>
  <c r="H5" i="173"/>
  <c r="G5" i="173"/>
  <c r="B5" i="173"/>
  <c r="K3" i="173"/>
  <c r="M3" i="173" s="1" a="1"/>
  <c r="G3" i="173"/>
  <c r="G2" i="173"/>
  <c r="F2" i="173"/>
  <c r="E2" i="173"/>
  <c r="F33" i="189" l="1"/>
  <c r="D33" i="189" s="1"/>
  <c r="E3" i="175"/>
  <c r="G31" i="175" s="1"/>
  <c r="V13" i="175"/>
  <c r="V9" i="175"/>
  <c r="V11" i="175"/>
  <c r="V7" i="175"/>
  <c r="V5" i="175"/>
  <c r="M3" i="175"/>
  <c r="O3" i="175"/>
  <c r="Q3" i="175"/>
  <c r="S3" i="175"/>
  <c r="U3" i="175"/>
  <c r="G7" i="175"/>
  <c r="N3" i="175"/>
  <c r="P3" i="175"/>
  <c r="R3" i="175"/>
  <c r="T3" i="175"/>
  <c r="E81" i="173"/>
  <c r="E83" i="173"/>
  <c r="E85" i="173"/>
  <c r="E87" i="173"/>
  <c r="E89" i="173"/>
  <c r="E91" i="173"/>
  <c r="D80" i="173"/>
  <c r="D82" i="173"/>
  <c r="D84" i="173"/>
  <c r="D86" i="173"/>
  <c r="D88" i="173"/>
  <c r="D90" i="173"/>
  <c r="E3" i="173"/>
  <c r="F3" i="173" s="1"/>
  <c r="V3" i="173"/>
  <c r="T3" i="173"/>
  <c r="R3" i="173"/>
  <c r="P3" i="173"/>
  <c r="N3" i="173"/>
  <c r="O3" i="173"/>
  <c r="S3" i="173"/>
  <c r="M3" i="173"/>
  <c r="Q3" i="173"/>
  <c r="U3" i="173"/>
  <c r="E68" i="173"/>
  <c r="E80" i="173"/>
  <c r="D81" i="173"/>
  <c r="E82" i="173"/>
  <c r="D83" i="173"/>
  <c r="E84" i="173"/>
  <c r="D85" i="173"/>
  <c r="E86" i="173"/>
  <c r="D87" i="173"/>
  <c r="E88" i="173"/>
  <c r="D89" i="173"/>
  <c r="E90" i="173"/>
  <c r="G33" i="189" l="1"/>
  <c r="F34" i="189"/>
  <c r="D34" i="189" s="1"/>
  <c r="G34" i="189" s="1"/>
  <c r="E15" i="173"/>
  <c r="E36" i="173" s="1"/>
  <c r="G31" i="173"/>
  <c r="F3" i="175"/>
  <c r="E15" i="175"/>
  <c r="T13" i="175"/>
  <c r="T9" i="175"/>
  <c r="T11" i="175"/>
  <c r="T7" i="175"/>
  <c r="T5" i="175"/>
  <c r="P13" i="175"/>
  <c r="P9" i="175"/>
  <c r="P11" i="175"/>
  <c r="P7" i="175"/>
  <c r="P5" i="175"/>
  <c r="S11" i="175"/>
  <c r="S7" i="175"/>
  <c r="S5" i="175"/>
  <c r="S13" i="175"/>
  <c r="S9" i="175"/>
  <c r="O11" i="175"/>
  <c r="O7" i="175"/>
  <c r="O5" i="175"/>
  <c r="O13" i="175"/>
  <c r="O9" i="175"/>
  <c r="V15" i="175"/>
  <c r="V20" i="175" s="1"/>
  <c r="V16" i="175" s="1"/>
  <c r="V18" i="175" s="1"/>
  <c r="R13" i="175"/>
  <c r="R9" i="175"/>
  <c r="R11" i="175"/>
  <c r="R7" i="175"/>
  <c r="R5" i="175"/>
  <c r="N13" i="175"/>
  <c r="N9" i="175"/>
  <c r="N11" i="175"/>
  <c r="N7" i="175"/>
  <c r="N5" i="175"/>
  <c r="U11" i="175"/>
  <c r="U7" i="175"/>
  <c r="U5" i="175"/>
  <c r="U13" i="175"/>
  <c r="U9" i="175"/>
  <c r="Q11" i="175"/>
  <c r="Q7" i="175"/>
  <c r="Q5" i="175"/>
  <c r="Q13" i="175"/>
  <c r="Q9" i="175"/>
  <c r="M5" i="175"/>
  <c r="M15" i="175" s="1"/>
  <c r="M13" i="175"/>
  <c r="E76" i="173"/>
  <c r="E60" i="173"/>
  <c r="E45" i="173"/>
  <c r="E72" i="173"/>
  <c r="E64" i="173"/>
  <c r="E56" i="173"/>
  <c r="E43" i="173"/>
  <c r="E78" i="173"/>
  <c r="E74" i="173"/>
  <c r="E70" i="173"/>
  <c r="E66" i="173"/>
  <c r="E62" i="173"/>
  <c r="E58" i="173"/>
  <c r="E38" i="173"/>
  <c r="U11" i="173"/>
  <c r="U7" i="173"/>
  <c r="U5" i="173"/>
  <c r="U9" i="173"/>
  <c r="U13" i="173"/>
  <c r="M5" i="173"/>
  <c r="M15" i="173" s="1"/>
  <c r="M13" i="173"/>
  <c r="O11" i="173"/>
  <c r="O7" i="173"/>
  <c r="O5" i="173"/>
  <c r="O13" i="173"/>
  <c r="O9" i="173"/>
  <c r="P13" i="173"/>
  <c r="P9" i="173"/>
  <c r="P11" i="173"/>
  <c r="P7" i="173"/>
  <c r="P5" i="173"/>
  <c r="T13" i="173"/>
  <c r="T9" i="173"/>
  <c r="T11" i="173"/>
  <c r="T7" i="173"/>
  <c r="T5" i="173"/>
  <c r="Q11" i="173"/>
  <c r="Q7" i="173"/>
  <c r="Q5" i="173"/>
  <c r="Q9" i="173"/>
  <c r="Q13" i="173"/>
  <c r="E79" i="173"/>
  <c r="E77" i="173"/>
  <c r="E75" i="173"/>
  <c r="E73" i="173"/>
  <c r="E69" i="173"/>
  <c r="E65" i="173"/>
  <c r="E61" i="173"/>
  <c r="E57" i="173"/>
  <c r="E71" i="173"/>
  <c r="E67" i="173"/>
  <c r="E63" i="173"/>
  <c r="E59" i="173"/>
  <c r="E34" i="173"/>
  <c r="S11" i="173"/>
  <c r="S7" i="173"/>
  <c r="S5" i="173"/>
  <c r="S13" i="173"/>
  <c r="S9" i="173"/>
  <c r="N13" i="173"/>
  <c r="N9" i="173"/>
  <c r="N7" i="173"/>
  <c r="N5" i="173"/>
  <c r="N11" i="173"/>
  <c r="R13" i="173"/>
  <c r="R9" i="173"/>
  <c r="R7" i="173"/>
  <c r="R5" i="173"/>
  <c r="R11" i="173"/>
  <c r="V13" i="173"/>
  <c r="V9" i="173"/>
  <c r="V7" i="173"/>
  <c r="V5" i="173"/>
  <c r="V11" i="173"/>
  <c r="F35" i="189" l="1"/>
  <c r="D35" i="189" s="1"/>
  <c r="F32" i="173"/>
  <c r="N15" i="173"/>
  <c r="N20" i="173" s="1"/>
  <c r="E52" i="173"/>
  <c r="V15" i="173"/>
  <c r="V20" i="173" s="1"/>
  <c r="V16" i="173" s="1"/>
  <c r="V18" i="173" s="1"/>
  <c r="E55" i="173"/>
  <c r="E46" i="173"/>
  <c r="E32" i="173"/>
  <c r="E47" i="173"/>
  <c r="E49" i="173"/>
  <c r="E42" i="173"/>
  <c r="E54" i="173"/>
  <c r="E33" i="173"/>
  <c r="E35" i="173"/>
  <c r="E51" i="173"/>
  <c r="E37" i="173"/>
  <c r="E53" i="173"/>
  <c r="E40" i="173"/>
  <c r="E44" i="173"/>
  <c r="E50" i="173"/>
  <c r="E39" i="173"/>
  <c r="E48" i="173"/>
  <c r="E46" i="175"/>
  <c r="E33" i="175"/>
  <c r="R15" i="173"/>
  <c r="R20" i="173" s="1"/>
  <c r="R16" i="173" s="1"/>
  <c r="R18" i="173" s="1"/>
  <c r="E55" i="175"/>
  <c r="E47" i="175"/>
  <c r="E63" i="175"/>
  <c r="E75" i="175"/>
  <c r="E42" i="175"/>
  <c r="E35" i="175"/>
  <c r="E51" i="175"/>
  <c r="E59" i="175"/>
  <c r="E67" i="175"/>
  <c r="E38" i="175"/>
  <c r="N15" i="175"/>
  <c r="N20" i="175" s="1"/>
  <c r="G16" i="173"/>
  <c r="H16" i="173" s="1"/>
  <c r="E41" i="173"/>
  <c r="G16" i="175"/>
  <c r="E69" i="175"/>
  <c r="E77" i="175"/>
  <c r="E81" i="175"/>
  <c r="E83" i="175"/>
  <c r="E85" i="175"/>
  <c r="E87" i="175"/>
  <c r="E89" i="175"/>
  <c r="E91" i="175"/>
  <c r="E39" i="175"/>
  <c r="E43" i="175"/>
  <c r="E48" i="175"/>
  <c r="E54" i="175"/>
  <c r="E58" i="175"/>
  <c r="E62" i="175"/>
  <c r="E66" i="175"/>
  <c r="E70" i="175"/>
  <c r="E74" i="175"/>
  <c r="E78" i="175"/>
  <c r="E34" i="175"/>
  <c r="E73" i="175"/>
  <c r="E36" i="175"/>
  <c r="E41" i="175"/>
  <c r="E45" i="175"/>
  <c r="E52" i="175"/>
  <c r="E56" i="175"/>
  <c r="E60" i="175"/>
  <c r="E64" i="175"/>
  <c r="E68" i="175"/>
  <c r="E72" i="175"/>
  <c r="E76" i="175"/>
  <c r="E80" i="175"/>
  <c r="E82" i="175"/>
  <c r="E84" i="175"/>
  <c r="E86" i="175"/>
  <c r="E88" i="175"/>
  <c r="E90" i="175"/>
  <c r="F32" i="175"/>
  <c r="R15" i="175"/>
  <c r="R20" i="175" s="1"/>
  <c r="R16" i="175" s="1"/>
  <c r="R18" i="175" s="1"/>
  <c r="E37" i="175"/>
  <c r="E49" i="175"/>
  <c r="E53" i="175"/>
  <c r="E57" i="175"/>
  <c r="E61" i="175"/>
  <c r="E65" i="175"/>
  <c r="T15" i="175"/>
  <c r="T20" i="175" s="1"/>
  <c r="T16" i="175" s="1"/>
  <c r="T18" i="175" s="1"/>
  <c r="E32" i="175"/>
  <c r="E71" i="175"/>
  <c r="E79" i="175"/>
  <c r="E40" i="175"/>
  <c r="E44" i="175"/>
  <c r="E50" i="175"/>
  <c r="U15" i="175"/>
  <c r="U20" i="175" s="1"/>
  <c r="U16" i="175" s="1"/>
  <c r="U18" i="175" s="1"/>
  <c r="O15" i="175"/>
  <c r="O20" i="175" s="1"/>
  <c r="P15" i="175"/>
  <c r="P20" i="175" s="1"/>
  <c r="M20" i="175"/>
  <c r="Q15" i="175"/>
  <c r="Q20" i="175" s="1"/>
  <c r="Q16" i="175" s="1"/>
  <c r="Q18" i="175" s="1"/>
  <c r="S15" i="175"/>
  <c r="S20" i="175" s="1"/>
  <c r="S16" i="175" s="1"/>
  <c r="S18" i="175" s="1"/>
  <c r="Q15" i="173"/>
  <c r="Q20" i="173" s="1"/>
  <c r="Q16" i="173" s="1"/>
  <c r="Q18" i="173" s="1"/>
  <c r="P15" i="173"/>
  <c r="P20" i="173" s="1"/>
  <c r="S15" i="173"/>
  <c r="S20" i="173" s="1"/>
  <c r="S16" i="173" s="1"/>
  <c r="S18" i="173" s="1"/>
  <c r="T15" i="173"/>
  <c r="T20" i="173" s="1"/>
  <c r="T16" i="173" s="1"/>
  <c r="T18" i="173" s="1"/>
  <c r="O15" i="173"/>
  <c r="O20" i="173" s="1"/>
  <c r="M20" i="173"/>
  <c r="U15" i="173"/>
  <c r="U20" i="173" s="1"/>
  <c r="U16" i="173" s="1"/>
  <c r="U18" i="173" s="1"/>
  <c r="G35" i="189" l="1"/>
  <c r="F36" i="189"/>
  <c r="D36" i="189" s="1"/>
  <c r="G36" i="189" s="1"/>
  <c r="D32" i="173"/>
  <c r="G32" i="173" s="1"/>
  <c r="E92" i="173"/>
  <c r="D33" i="175"/>
  <c r="D32" i="175"/>
  <c r="D24" i="175"/>
  <c r="I24" i="175" s="1"/>
  <c r="N16" i="175"/>
  <c r="N18" i="175" s="1"/>
  <c r="F24" i="175" s="1"/>
  <c r="H16" i="175"/>
  <c r="E92" i="175"/>
  <c r="O16" i="175"/>
  <c r="D25" i="175"/>
  <c r="I25" i="175" s="1"/>
  <c r="D26" i="175"/>
  <c r="I26" i="175" s="1"/>
  <c r="P16" i="175"/>
  <c r="M16" i="175"/>
  <c r="D23" i="175"/>
  <c r="I23" i="175" s="1"/>
  <c r="O16" i="173"/>
  <c r="D25" i="173"/>
  <c r="I25" i="173" s="1"/>
  <c r="D24" i="173"/>
  <c r="I24" i="173" s="1"/>
  <c r="N16" i="173"/>
  <c r="M16" i="173"/>
  <c r="D23" i="173"/>
  <c r="I23" i="173" s="1"/>
  <c r="P16" i="173"/>
  <c r="D26" i="173"/>
  <c r="I26" i="173" s="1"/>
  <c r="F37" i="189" l="1"/>
  <c r="D37" i="189" s="1"/>
  <c r="F33" i="173"/>
  <c r="E24" i="175"/>
  <c r="H24" i="175" s="1"/>
  <c r="G32" i="175"/>
  <c r="F33" i="175"/>
  <c r="F34" i="175"/>
  <c r="E23" i="175"/>
  <c r="M18" i="175"/>
  <c r="F23" i="175" s="1"/>
  <c r="E25" i="175"/>
  <c r="O18" i="175"/>
  <c r="F25" i="175" s="1"/>
  <c r="E26" i="175"/>
  <c r="P18" i="175"/>
  <c r="F26" i="175" s="1"/>
  <c r="E24" i="173"/>
  <c r="N18" i="173"/>
  <c r="F24" i="173" s="1"/>
  <c r="E26" i="173"/>
  <c r="P18" i="173"/>
  <c r="F26" i="173" s="1"/>
  <c r="E23" i="173"/>
  <c r="M18" i="173"/>
  <c r="F23" i="173" s="1"/>
  <c r="D33" i="173"/>
  <c r="E25" i="173"/>
  <c r="O18" i="173"/>
  <c r="F25" i="173" s="1"/>
  <c r="G37" i="189" l="1"/>
  <c r="F38" i="189"/>
  <c r="D38" i="189" s="1"/>
  <c r="G24" i="175"/>
  <c r="G26" i="175"/>
  <c r="H26" i="175"/>
  <c r="G33" i="175"/>
  <c r="G25" i="175"/>
  <c r="H25" i="175"/>
  <c r="G23" i="175"/>
  <c r="H23" i="175"/>
  <c r="G25" i="173"/>
  <c r="H25" i="173"/>
  <c r="G33" i="173"/>
  <c r="F34" i="173"/>
  <c r="G23" i="173"/>
  <c r="H23" i="173"/>
  <c r="G26" i="173"/>
  <c r="H26" i="173"/>
  <c r="G24" i="173"/>
  <c r="H24" i="173"/>
  <c r="G38" i="189" l="1"/>
  <c r="F39" i="189"/>
  <c r="D39" i="189" s="1"/>
  <c r="G39" i="189" s="1"/>
  <c r="D34" i="175"/>
  <c r="D34" i="173"/>
  <c r="F40" i="189" l="1"/>
  <c r="D40" i="189" s="1"/>
  <c r="G40" i="189" s="1"/>
  <c r="G34" i="175"/>
  <c r="F35" i="175"/>
  <c r="G34" i="173"/>
  <c r="F35" i="173"/>
  <c r="F41" i="189" l="1"/>
  <c r="D41" i="189" s="1"/>
  <c r="G41" i="189" s="1"/>
  <c r="F42" i="189"/>
  <c r="D42" i="189" s="1"/>
  <c r="G42" i="189" s="1"/>
  <c r="D35" i="175"/>
  <c r="D35" i="173"/>
  <c r="F43" i="189" l="1"/>
  <c r="D43" i="189" s="1"/>
  <c r="G35" i="175"/>
  <c r="F36" i="175"/>
  <c r="D36" i="175" s="1"/>
  <c r="G36" i="175" s="1"/>
  <c r="G35" i="173"/>
  <c r="F36" i="173"/>
  <c r="D36" i="173" s="1"/>
  <c r="G36" i="173" s="1"/>
  <c r="G43" i="189" l="1"/>
  <c r="F44" i="189"/>
  <c r="D44" i="189" s="1"/>
  <c r="F45" i="189" s="1"/>
  <c r="D45" i="189" s="1"/>
  <c r="G45" i="189" s="1"/>
  <c r="F37" i="175"/>
  <c r="D37" i="175" s="1"/>
  <c r="G37" i="175" s="1"/>
  <c r="F37" i="173"/>
  <c r="D37" i="173" s="1"/>
  <c r="G44" i="189" l="1"/>
  <c r="F46" i="189"/>
  <c r="D46" i="189" s="1"/>
  <c r="G46" i="189" s="1"/>
  <c r="F47" i="189"/>
  <c r="D47" i="189" s="1"/>
  <c r="G47" i="189" s="1"/>
  <c r="F38" i="175"/>
  <c r="D38" i="175" s="1"/>
  <c r="G38" i="175" s="1"/>
  <c r="G37" i="173"/>
  <c r="F38" i="173"/>
  <c r="D38" i="173" s="1"/>
  <c r="F48" i="189" l="1"/>
  <c r="D48" i="189" s="1"/>
  <c r="G48" i="189" s="1"/>
  <c r="F39" i="175"/>
  <c r="D39" i="175" s="1"/>
  <c r="G39" i="175" s="1"/>
  <c r="G38" i="173"/>
  <c r="F39" i="173"/>
  <c r="D39" i="173" s="1"/>
  <c r="F49" i="189" l="1"/>
  <c r="D49" i="189" s="1"/>
  <c r="G49" i="189" s="1"/>
  <c r="F40" i="175"/>
  <c r="D40" i="175" s="1"/>
  <c r="G40" i="175" s="1"/>
  <c r="G39" i="173"/>
  <c r="F40" i="173"/>
  <c r="D40" i="173" s="1"/>
  <c r="F50" i="189" l="1"/>
  <c r="D50" i="189" s="1"/>
  <c r="G50" i="189" s="1"/>
  <c r="F51" i="189"/>
  <c r="D51" i="189" s="1"/>
  <c r="G51" i="189" s="1"/>
  <c r="F41" i="175"/>
  <c r="D41" i="175" s="1"/>
  <c r="G41" i="175" s="1"/>
  <c r="G40" i="173"/>
  <c r="F41" i="173"/>
  <c r="D41" i="173" s="1"/>
  <c r="F52" i="189" l="1"/>
  <c r="D52" i="189" s="1"/>
  <c r="G52" i="189" s="1"/>
  <c r="F42" i="175"/>
  <c r="D42" i="175" s="1"/>
  <c r="G42" i="175" s="1"/>
  <c r="G41" i="173"/>
  <c r="F42" i="173"/>
  <c r="D42" i="173" s="1"/>
  <c r="F53" i="189" l="1"/>
  <c r="D53" i="189" s="1"/>
  <c r="G53" i="189" s="1"/>
  <c r="F43" i="175"/>
  <c r="D43" i="175" s="1"/>
  <c r="G43" i="175" s="1"/>
  <c r="G42" i="173"/>
  <c r="F43" i="173"/>
  <c r="D43" i="173" s="1"/>
  <c r="F54" i="189" l="1"/>
  <c r="D54" i="189" s="1"/>
  <c r="G54" i="189" s="1"/>
  <c r="F55" i="189"/>
  <c r="D55" i="189" s="1"/>
  <c r="G55" i="189" s="1"/>
  <c r="F44" i="175"/>
  <c r="D44" i="175" s="1"/>
  <c r="G44" i="175" s="1"/>
  <c r="G43" i="173"/>
  <c r="F44" i="173"/>
  <c r="D44" i="173" s="1"/>
  <c r="F56" i="189" l="1"/>
  <c r="D56" i="189" s="1"/>
  <c r="F57" i="189" s="1"/>
  <c r="D57" i="189" s="1"/>
  <c r="F45" i="175"/>
  <c r="D45" i="175" s="1"/>
  <c r="G45" i="175" s="1"/>
  <c r="G44" i="173"/>
  <c r="F45" i="173"/>
  <c r="D45" i="173" s="1"/>
  <c r="G56" i="189" l="1"/>
  <c r="G57" i="189"/>
  <c r="F58" i="189"/>
  <c r="D58" i="189" s="1"/>
  <c r="F46" i="175"/>
  <c r="D46" i="175" s="1"/>
  <c r="G46" i="175" s="1"/>
  <c r="G45" i="173"/>
  <c r="F46" i="173"/>
  <c r="D46" i="173" s="1"/>
  <c r="G58" i="189" l="1"/>
  <c r="F59" i="189"/>
  <c r="D59" i="189" s="1"/>
  <c r="F47" i="175"/>
  <c r="D47" i="175" s="1"/>
  <c r="G47" i="175" s="1"/>
  <c r="G46" i="173"/>
  <c r="F47" i="173"/>
  <c r="D47" i="173" s="1"/>
  <c r="G59" i="189" l="1"/>
  <c r="F60" i="189"/>
  <c r="D60" i="189" s="1"/>
  <c r="F48" i="175"/>
  <c r="D48" i="175" s="1"/>
  <c r="G48" i="175" s="1"/>
  <c r="G47" i="173"/>
  <c r="F48" i="173"/>
  <c r="D48" i="173" s="1"/>
  <c r="G60" i="189" l="1"/>
  <c r="F61" i="189"/>
  <c r="D61" i="189" s="1"/>
  <c r="F49" i="175"/>
  <c r="D49" i="175" s="1"/>
  <c r="G49" i="175" s="1"/>
  <c r="G48" i="173"/>
  <c r="F49" i="173"/>
  <c r="D49" i="173" s="1"/>
  <c r="G61" i="189" l="1"/>
  <c r="F62" i="189"/>
  <c r="D62" i="189" s="1"/>
  <c r="F50" i="175"/>
  <c r="D50" i="175" s="1"/>
  <c r="G50" i="175" s="1"/>
  <c r="G49" i="173"/>
  <c r="F50" i="173"/>
  <c r="D50" i="173" s="1"/>
  <c r="G62" i="189" l="1"/>
  <c r="F63" i="189"/>
  <c r="D63" i="189" s="1"/>
  <c r="F51" i="175"/>
  <c r="D51" i="175" s="1"/>
  <c r="G51" i="175" s="1"/>
  <c r="G50" i="173"/>
  <c r="F51" i="173"/>
  <c r="D51" i="173" s="1"/>
  <c r="G63" i="189" l="1"/>
  <c r="F64" i="189"/>
  <c r="D64" i="189" s="1"/>
  <c r="F52" i="175"/>
  <c r="D52" i="175" s="1"/>
  <c r="G52" i="175" s="1"/>
  <c r="G51" i="173"/>
  <c r="F52" i="173"/>
  <c r="D52" i="173" s="1"/>
  <c r="G64" i="189" l="1"/>
  <c r="F65" i="189"/>
  <c r="D65" i="189" s="1"/>
  <c r="F53" i="175"/>
  <c r="D53" i="175" s="1"/>
  <c r="G53" i="175" s="1"/>
  <c r="G52" i="173"/>
  <c r="F53" i="173"/>
  <c r="D53" i="173" s="1"/>
  <c r="G65" i="189" l="1"/>
  <c r="F66" i="189"/>
  <c r="D66" i="189" s="1"/>
  <c r="F54" i="175"/>
  <c r="D54" i="175" s="1"/>
  <c r="G54" i="175" s="1"/>
  <c r="G53" i="173"/>
  <c r="F54" i="173"/>
  <c r="D54" i="173" s="1"/>
  <c r="G66" i="189" l="1"/>
  <c r="F67" i="189"/>
  <c r="D67" i="189" s="1"/>
  <c r="F55" i="175"/>
  <c r="D55" i="175" s="1"/>
  <c r="G55" i="175" s="1"/>
  <c r="G54" i="173"/>
  <c r="F55" i="173"/>
  <c r="D55" i="173" s="1"/>
  <c r="G67" i="189" l="1"/>
  <c r="F68" i="189"/>
  <c r="D68" i="189" s="1"/>
  <c r="F56" i="175"/>
  <c r="D56" i="175" s="1"/>
  <c r="G56" i="175" s="1"/>
  <c r="G55" i="173"/>
  <c r="F56" i="173"/>
  <c r="D56" i="173" s="1"/>
  <c r="G68" i="189" l="1"/>
  <c r="F69" i="189"/>
  <c r="D69" i="189" s="1"/>
  <c r="F57" i="175"/>
  <c r="D57" i="175" s="1"/>
  <c r="G57" i="175" s="1"/>
  <c r="G56" i="173"/>
  <c r="F57" i="173"/>
  <c r="D57" i="173" s="1"/>
  <c r="G69" i="189" l="1"/>
  <c r="F70" i="189"/>
  <c r="D70" i="189" s="1"/>
  <c r="F58" i="175"/>
  <c r="D58" i="175" s="1"/>
  <c r="G58" i="175" s="1"/>
  <c r="G57" i="173"/>
  <c r="F58" i="173"/>
  <c r="D58" i="173" s="1"/>
  <c r="G70" i="189" l="1"/>
  <c r="F71" i="189"/>
  <c r="D71" i="189" s="1"/>
  <c r="F59" i="175"/>
  <c r="D59" i="175" s="1"/>
  <c r="G59" i="175" s="1"/>
  <c r="G58" i="173"/>
  <c r="F59" i="173"/>
  <c r="D59" i="173" s="1"/>
  <c r="G71" i="189" l="1"/>
  <c r="F72" i="189"/>
  <c r="D72" i="189" s="1"/>
  <c r="F60" i="175"/>
  <c r="D60" i="175" s="1"/>
  <c r="G60" i="175" s="1"/>
  <c r="G59" i="173"/>
  <c r="F60" i="173"/>
  <c r="D60" i="173" s="1"/>
  <c r="G72" i="189" l="1"/>
  <c r="F73" i="189"/>
  <c r="D73" i="189" s="1"/>
  <c r="F61" i="175"/>
  <c r="D61" i="175" s="1"/>
  <c r="G61" i="175" s="1"/>
  <c r="G60" i="173"/>
  <c r="F61" i="173"/>
  <c r="D61" i="173" s="1"/>
  <c r="G73" i="189" l="1"/>
  <c r="F74" i="189"/>
  <c r="D74" i="189" s="1"/>
  <c r="F62" i="175"/>
  <c r="D62" i="175" s="1"/>
  <c r="G62" i="175" s="1"/>
  <c r="G61" i="173"/>
  <c r="F62" i="173"/>
  <c r="D62" i="173" s="1"/>
  <c r="G74" i="189" l="1"/>
  <c r="F75" i="189"/>
  <c r="D75" i="189" s="1"/>
  <c r="F63" i="175"/>
  <c r="D63" i="175" s="1"/>
  <c r="G63" i="175" s="1"/>
  <c r="G62" i="173"/>
  <c r="F63" i="173"/>
  <c r="D63" i="173" s="1"/>
  <c r="G75" i="189" l="1"/>
  <c r="F76" i="189"/>
  <c r="D76" i="189" s="1"/>
  <c r="F64" i="175"/>
  <c r="D64" i="175" s="1"/>
  <c r="G64" i="175" s="1"/>
  <c r="G63" i="173"/>
  <c r="F64" i="173"/>
  <c r="D64" i="173" s="1"/>
  <c r="G76" i="189" l="1"/>
  <c r="F77" i="189"/>
  <c r="D77" i="189" s="1"/>
  <c r="F65" i="175"/>
  <c r="D65" i="175" s="1"/>
  <c r="G65" i="175" s="1"/>
  <c r="G64" i="173"/>
  <c r="F65" i="173"/>
  <c r="D65" i="173" s="1"/>
  <c r="G77" i="189" l="1"/>
  <c r="F78" i="189"/>
  <c r="D78" i="189" s="1"/>
  <c r="F66" i="175"/>
  <c r="D66" i="175" s="1"/>
  <c r="G66" i="175" s="1"/>
  <c r="G65" i="173"/>
  <c r="F66" i="173"/>
  <c r="D66" i="173" s="1"/>
  <c r="G78" i="189" l="1"/>
  <c r="F79" i="189"/>
  <c r="D79" i="189" s="1"/>
  <c r="F67" i="175"/>
  <c r="D67" i="175" s="1"/>
  <c r="G67" i="175" s="1"/>
  <c r="G66" i="173"/>
  <c r="F67" i="173"/>
  <c r="D67" i="173" s="1"/>
  <c r="G79" i="189" l="1"/>
  <c r="F80" i="189"/>
  <c r="D80" i="189" s="1"/>
  <c r="F68" i="175"/>
  <c r="D68" i="175" s="1"/>
  <c r="G68" i="175" s="1"/>
  <c r="G67" i="173"/>
  <c r="F68" i="173"/>
  <c r="D68" i="173" s="1"/>
  <c r="G80" i="189" l="1"/>
  <c r="F81" i="189"/>
  <c r="D81" i="189" s="1"/>
  <c r="F69" i="175"/>
  <c r="D69" i="175" s="1"/>
  <c r="G69" i="175" s="1"/>
  <c r="G68" i="173"/>
  <c r="F69" i="173"/>
  <c r="D69" i="173" s="1"/>
  <c r="G81" i="189" l="1"/>
  <c r="F82" i="189"/>
  <c r="D82" i="189" s="1"/>
  <c r="F70" i="175"/>
  <c r="D70" i="175" s="1"/>
  <c r="G70" i="175" s="1"/>
  <c r="G69" i="173"/>
  <c r="F70" i="173"/>
  <c r="D70" i="173" s="1"/>
  <c r="G82" i="189" l="1"/>
  <c r="F83" i="189"/>
  <c r="D83" i="189" s="1"/>
  <c r="F71" i="175"/>
  <c r="D71" i="175" s="1"/>
  <c r="G71" i="175" s="1"/>
  <c r="G70" i="173"/>
  <c r="F71" i="173"/>
  <c r="D71" i="173" s="1"/>
  <c r="G83" i="189" l="1"/>
  <c r="F84" i="189"/>
  <c r="D84" i="189" s="1"/>
  <c r="F72" i="175"/>
  <c r="D72" i="175" s="1"/>
  <c r="G72" i="175" s="1"/>
  <c r="G71" i="173"/>
  <c r="F72" i="173"/>
  <c r="D72" i="173" s="1"/>
  <c r="G84" i="189" l="1"/>
  <c r="F85" i="189"/>
  <c r="D85" i="189" s="1"/>
  <c r="F73" i="175"/>
  <c r="D73" i="175" s="1"/>
  <c r="G73" i="175" s="1"/>
  <c r="G72" i="173"/>
  <c r="F73" i="173"/>
  <c r="D73" i="173" s="1"/>
  <c r="G85" i="189" l="1"/>
  <c r="F86" i="189"/>
  <c r="D86" i="189" s="1"/>
  <c r="F74" i="175"/>
  <c r="D74" i="175" s="1"/>
  <c r="G74" i="175" s="1"/>
  <c r="G73" i="173"/>
  <c r="F74" i="173"/>
  <c r="D74" i="173" s="1"/>
  <c r="G86" i="189" l="1"/>
  <c r="F87" i="189"/>
  <c r="D87" i="189" s="1"/>
  <c r="F75" i="175"/>
  <c r="D75" i="175" s="1"/>
  <c r="G75" i="175" s="1"/>
  <c r="G74" i="173"/>
  <c r="F75" i="173"/>
  <c r="D75" i="173" s="1"/>
  <c r="G87" i="189" l="1"/>
  <c r="D89" i="189"/>
  <c r="F7" i="189" s="1"/>
  <c r="F88" i="189"/>
  <c r="F76" i="175"/>
  <c r="D76" i="175" s="1"/>
  <c r="G76" i="175" s="1"/>
  <c r="G75" i="173"/>
  <c r="F76" i="173"/>
  <c r="D76" i="173" s="1"/>
  <c r="F89" i="189" l="1"/>
  <c r="G88" i="189"/>
  <c r="F77" i="175"/>
  <c r="D77" i="175" s="1"/>
  <c r="G77" i="175" s="1"/>
  <c r="G76" i="173"/>
  <c r="F77" i="173"/>
  <c r="D77" i="173" s="1"/>
  <c r="G89" i="189" l="1"/>
  <c r="F20" i="189" s="1"/>
  <c r="F22" i="189" s="1"/>
  <c r="F24" i="189"/>
  <c r="F78" i="175"/>
  <c r="D78" i="175" s="1"/>
  <c r="G78" i="175" s="1"/>
  <c r="G77" i="173"/>
  <c r="F78" i="173"/>
  <c r="D78" i="173" s="1"/>
  <c r="F79" i="175" l="1"/>
  <c r="D79" i="175" s="1"/>
  <c r="G79" i="175" s="1"/>
  <c r="G78" i="173"/>
  <c r="D79" i="173"/>
  <c r="F79" i="173"/>
  <c r="F80" i="175" l="1"/>
  <c r="D80" i="175" s="1"/>
  <c r="G80" i="175" s="1"/>
  <c r="G79" i="173"/>
  <c r="F86" i="173"/>
  <c r="G86" i="173" s="1"/>
  <c r="F90" i="173"/>
  <c r="G90" i="173" s="1"/>
  <c r="F87" i="173"/>
  <c r="G87" i="173" s="1"/>
  <c r="F84" i="173"/>
  <c r="G84" i="173" s="1"/>
  <c r="F81" i="173"/>
  <c r="G81" i="173" s="1"/>
  <c r="F80" i="173"/>
  <c r="G80" i="173" s="1"/>
  <c r="F83" i="173"/>
  <c r="G83" i="173" s="1"/>
  <c r="F88" i="173"/>
  <c r="G88" i="173" s="1"/>
  <c r="F85" i="173"/>
  <c r="G85" i="173" s="1"/>
  <c r="F91" i="173"/>
  <c r="F82" i="173"/>
  <c r="G82" i="173" s="1"/>
  <c r="F89" i="173"/>
  <c r="G89" i="173" s="1"/>
  <c r="D92" i="173"/>
  <c r="F81" i="175" l="1"/>
  <c r="G91" i="173"/>
  <c r="G92" i="173" s="1"/>
  <c r="F18" i="173" s="1"/>
  <c r="F92" i="173"/>
  <c r="D81" i="175" l="1"/>
  <c r="G81" i="175" s="1"/>
  <c r="H18" i="173"/>
  <c r="F20" i="173"/>
  <c r="G20" i="173" s="1"/>
  <c r="G18" i="173"/>
  <c r="F82" i="175" l="1"/>
  <c r="D82" i="175" l="1"/>
  <c r="G82" i="175" s="1"/>
  <c r="F83" i="175" l="1"/>
  <c r="D83" i="175" l="1"/>
  <c r="G83" i="175" s="1"/>
  <c r="F84" i="175" l="1"/>
  <c r="D84" i="175" l="1"/>
  <c r="G84" i="175" s="1"/>
  <c r="F85" i="175" l="1"/>
  <c r="D85" i="175" l="1"/>
  <c r="F86" i="175" s="1"/>
  <c r="G85" i="175" l="1"/>
  <c r="D86" i="175"/>
  <c r="F87" i="175" s="1"/>
  <c r="G86" i="175" l="1"/>
  <c r="D87" i="175"/>
  <c r="F88" i="175" s="1"/>
  <c r="G87" i="175" l="1"/>
  <c r="D88" i="175"/>
  <c r="F89" i="175" s="1"/>
  <c r="D89" i="175" l="1"/>
  <c r="F90" i="175" s="1"/>
  <c r="G88" i="175"/>
  <c r="G89" i="175" l="1"/>
  <c r="D90" i="175"/>
  <c r="D91" i="175" l="1"/>
  <c r="F91" i="175"/>
  <c r="F92" i="175" s="1"/>
  <c r="G90" i="175"/>
  <c r="G91" i="175" l="1"/>
  <c r="G92" i="175" s="1"/>
  <c r="F18" i="175" s="1"/>
  <c r="D92" i="175"/>
  <c r="F20" i="175" l="1"/>
  <c r="G20" i="175" s="1"/>
  <c r="H18" i="175"/>
  <c r="G18" i="175"/>
  <c r="AA16" i="164"/>
  <c r="AA17" i="164"/>
  <c r="AA18" i="164"/>
  <c r="AA19" i="164"/>
  <c r="AA20" i="164"/>
  <c r="AA21" i="164"/>
  <c r="AA22" i="164"/>
  <c r="AA23" i="164"/>
  <c r="AA24" i="164"/>
  <c r="AA25" i="164"/>
  <c r="AA26" i="164"/>
  <c r="AA27" i="164"/>
  <c r="AA28" i="164"/>
  <c r="AA29" i="164"/>
  <c r="AA30" i="164"/>
  <c r="AA31" i="164"/>
  <c r="AA32" i="164"/>
  <c r="AA33" i="164"/>
  <c r="AA15" i="164"/>
  <c r="H3" i="175" l="1"/>
  <c r="H3" i="186"/>
  <c r="AA9" i="164"/>
  <c r="AA10" i="164"/>
  <c r="AA11" i="164"/>
  <c r="AA12" i="164"/>
  <c r="AA13" i="164"/>
  <c r="AA14" i="164"/>
  <c r="AA38" i="164"/>
  <c r="AA39" i="164"/>
  <c r="AA40" i="164"/>
  <c r="AA41" i="164"/>
  <c r="AA42" i="164"/>
  <c r="AA43" i="164"/>
  <c r="AA44" i="164"/>
  <c r="AA45" i="164"/>
  <c r="E38" i="186" l="1"/>
  <c r="E32" i="186"/>
  <c r="E39" i="186"/>
  <c r="E33" i="186"/>
  <c r="E36" i="186"/>
  <c r="E40" i="186"/>
  <c r="E30" i="186"/>
  <c r="E37" i="186"/>
  <c r="E35" i="186"/>
  <c r="E29" i="186"/>
  <c r="E34" i="186"/>
  <c r="E31" i="186"/>
  <c r="G2" i="164"/>
  <c r="D29" i="186" l="1"/>
  <c r="E89" i="186"/>
  <c r="H3" i="173"/>
  <c r="G29" i="186" l="1"/>
  <c r="F30" i="186"/>
  <c r="D30" i="186" s="1"/>
  <c r="G30" i="186" s="1"/>
  <c r="E7" i="171"/>
  <c r="E8" i="171"/>
  <c r="F31" i="186" l="1"/>
  <c r="D31" i="186" s="1"/>
  <c r="E21" i="171"/>
  <c r="E19" i="171"/>
  <c r="G31" i="186" l="1"/>
  <c r="F32" i="186"/>
  <c r="D32" i="186" s="1"/>
  <c r="Q7" i="171"/>
  <c r="G32" i="186" l="1"/>
  <c r="F33" i="186"/>
  <c r="D33" i="186" s="1"/>
  <c r="P8" i="171"/>
  <c r="O8" i="171"/>
  <c r="N8" i="171"/>
  <c r="M8" i="171"/>
  <c r="L8" i="171"/>
  <c r="K8" i="171"/>
  <c r="G33" i="186" l="1"/>
  <c r="F34" i="186"/>
  <c r="D34" i="186" s="1"/>
  <c r="F35" i="186" s="1"/>
  <c r="D35" i="186" s="1"/>
  <c r="G35" i="186" s="1"/>
  <c r="D8" i="171"/>
  <c r="F8" i="171"/>
  <c r="I8" i="171"/>
  <c r="H8" i="171"/>
  <c r="G8" i="171"/>
  <c r="J8" i="171"/>
  <c r="F36" i="186" l="1"/>
  <c r="D36" i="186" s="1"/>
  <c r="G36" i="186" s="1"/>
  <c r="G34" i="186"/>
  <c r="F10" i="171"/>
  <c r="F9" i="171"/>
  <c r="F7" i="171"/>
  <c r="F37" i="186" l="1"/>
  <c r="D37" i="186" s="1"/>
  <c r="G37" i="186" s="1"/>
  <c r="E9" i="171"/>
  <c r="D9" i="171"/>
  <c r="F38" i="186" l="1"/>
  <c r="D38" i="186" s="1"/>
  <c r="B9" i="171"/>
  <c r="G38" i="186" l="1"/>
  <c r="F39" i="186"/>
  <c r="D39" i="186" s="1"/>
  <c r="G39" i="186" s="1"/>
  <c r="P9" i="171"/>
  <c r="O9" i="171"/>
  <c r="N9" i="171"/>
  <c r="M9" i="171"/>
  <c r="L9" i="171"/>
  <c r="K9" i="171"/>
  <c r="P10" i="171"/>
  <c r="O10" i="171"/>
  <c r="N10" i="171"/>
  <c r="M10" i="171"/>
  <c r="L10" i="171"/>
  <c r="P7" i="171"/>
  <c r="O7" i="171"/>
  <c r="N7" i="171"/>
  <c r="M7" i="171"/>
  <c r="L7" i="171"/>
  <c r="K7" i="171"/>
  <c r="E10" i="171"/>
  <c r="D10" i="171"/>
  <c r="F40" i="186" l="1"/>
  <c r="D40" i="186" s="1"/>
  <c r="G40" i="186" s="1"/>
  <c r="B10" i="171"/>
  <c r="D7" i="171"/>
  <c r="F41" i="186" l="1"/>
  <c r="D41" i="186" s="1"/>
  <c r="G41" i="186" s="1"/>
  <c r="J9" i="171"/>
  <c r="I9" i="171"/>
  <c r="H9" i="171"/>
  <c r="G9" i="171"/>
  <c r="J7" i="171"/>
  <c r="H7" i="171"/>
  <c r="I7" i="171"/>
  <c r="K10" i="171"/>
  <c r="G10" i="171"/>
  <c r="I10" i="171"/>
  <c r="J10" i="171"/>
  <c r="H10" i="171"/>
  <c r="F42" i="186" l="1"/>
  <c r="D42" i="186" s="1"/>
  <c r="G42" i="186" s="1"/>
  <c r="G7" i="171"/>
  <c r="F43" i="186" l="1"/>
  <c r="D43" i="186" s="1"/>
  <c r="G43" i="186" s="1"/>
  <c r="C31" i="164"/>
  <c r="C32" i="164" s="1"/>
  <c r="C33" i="164" s="1"/>
  <c r="C34" i="164" s="1"/>
  <c r="C35" i="164" s="1"/>
  <c r="C36" i="164" s="1"/>
  <c r="C37" i="164" s="1"/>
  <c r="C38" i="164" s="1"/>
  <c r="C39" i="164" s="1"/>
  <c r="C40" i="164" s="1"/>
  <c r="C41" i="164" s="1"/>
  <c r="C42" i="164" s="1"/>
  <c r="C43" i="164" s="1"/>
  <c r="C44" i="164" s="1"/>
  <c r="C45" i="164" s="1"/>
  <c r="C46" i="164" s="1"/>
  <c r="C47" i="164" s="1"/>
  <c r="C48" i="164" s="1"/>
  <c r="C49" i="164" s="1"/>
  <c r="C50" i="164" s="1"/>
  <c r="C51" i="164" s="1"/>
  <c r="C52" i="164" s="1"/>
  <c r="C53" i="164" s="1"/>
  <c r="C54" i="164" s="1"/>
  <c r="C55" i="164" s="1"/>
  <c r="C56" i="164" s="1"/>
  <c r="C57" i="164" s="1"/>
  <c r="C58" i="164" s="1"/>
  <c r="C59" i="164" s="1"/>
  <c r="C60" i="164" s="1"/>
  <c r="C61" i="164" s="1"/>
  <c r="C62" i="164" s="1"/>
  <c r="C63" i="164" s="1"/>
  <c r="C64" i="164" s="1"/>
  <c r="C65" i="164" s="1"/>
  <c r="C66" i="164" s="1"/>
  <c r="C67" i="164" s="1"/>
  <c r="C68" i="164" s="1"/>
  <c r="C69" i="164" s="1"/>
  <c r="C70" i="164" s="1"/>
  <c r="C71" i="164" s="1"/>
  <c r="C72" i="164" s="1"/>
  <c r="C73" i="164" s="1"/>
  <c r="C74" i="164" s="1"/>
  <c r="C75" i="164" s="1"/>
  <c r="C76" i="164" s="1"/>
  <c r="C77" i="164" s="1"/>
  <c r="C78" i="164" s="1"/>
  <c r="C79" i="164" s="1"/>
  <c r="C80" i="164" s="1"/>
  <c r="C81" i="164" s="1"/>
  <c r="C82" i="164" s="1"/>
  <c r="C83" i="164" s="1"/>
  <c r="C84" i="164" s="1"/>
  <c r="C85" i="164" s="1"/>
  <c r="C86" i="164" s="1"/>
  <c r="C87" i="164" s="1"/>
  <c r="C88" i="164" s="1"/>
  <c r="C89" i="164" s="1"/>
  <c r="C90" i="164" s="1"/>
  <c r="C91" i="164" s="1"/>
  <c r="F44" i="186" l="1"/>
  <c r="D44" i="186" s="1"/>
  <c r="E2" i="164"/>
  <c r="C23" i="161"/>
  <c r="H23" i="161" s="1"/>
  <c r="D23" i="161"/>
  <c r="F23" i="161" s="1"/>
  <c r="E23" i="161"/>
  <c r="C24" i="161"/>
  <c r="H24" i="161" s="1"/>
  <c r="D24" i="161"/>
  <c r="F24" i="161" s="1"/>
  <c r="E24" i="161"/>
  <c r="C25" i="161"/>
  <c r="H25" i="161" s="1"/>
  <c r="D25" i="161"/>
  <c r="F25" i="161" s="1"/>
  <c r="E25" i="161"/>
  <c r="C26" i="161"/>
  <c r="H26" i="161" s="1"/>
  <c r="D26" i="161"/>
  <c r="G26" i="161" s="1"/>
  <c r="E26" i="161"/>
  <c r="F2" i="164"/>
  <c r="G3" i="164"/>
  <c r="K3" i="164"/>
  <c r="M3" i="164" s="1" a="1"/>
  <c r="N3" i="164" s="1"/>
  <c r="B5" i="164"/>
  <c r="G5" i="164"/>
  <c r="H5" i="164"/>
  <c r="B7" i="164"/>
  <c r="C7" i="164"/>
  <c r="D7" i="164"/>
  <c r="E7" i="164"/>
  <c r="F7" i="164"/>
  <c r="G7" i="164" s="1"/>
  <c r="M7" i="164"/>
  <c r="B9" i="164"/>
  <c r="C9" i="164"/>
  <c r="D9" i="164"/>
  <c r="E9" i="164"/>
  <c r="F9" i="164"/>
  <c r="E14" i="164" s="1"/>
  <c r="M9" i="164"/>
  <c r="B11" i="164"/>
  <c r="C11" i="164"/>
  <c r="D11" i="164"/>
  <c r="E11" i="164"/>
  <c r="F11" i="164"/>
  <c r="M11" i="164"/>
  <c r="B13" i="164"/>
  <c r="C13" i="164"/>
  <c r="D13" i="164"/>
  <c r="E13" i="164"/>
  <c r="F13" i="164"/>
  <c r="B16" i="164"/>
  <c r="C16" i="164"/>
  <c r="D16" i="164"/>
  <c r="E16" i="164"/>
  <c r="B18" i="164"/>
  <c r="C18" i="164"/>
  <c r="D18" i="164"/>
  <c r="E18" i="164"/>
  <c r="B20" i="164"/>
  <c r="C20" i="164"/>
  <c r="D20" i="164"/>
  <c r="E20" i="164"/>
  <c r="B22" i="164"/>
  <c r="C22" i="164"/>
  <c r="D22" i="164"/>
  <c r="E22" i="164"/>
  <c r="F22" i="164"/>
  <c r="G22" i="164"/>
  <c r="H22" i="164"/>
  <c r="I22" i="164"/>
  <c r="A23" i="164"/>
  <c r="A24" i="164"/>
  <c r="A25" i="164"/>
  <c r="A26" i="164"/>
  <c r="B29" i="164"/>
  <c r="B30" i="164"/>
  <c r="D30" i="164"/>
  <c r="E30" i="164"/>
  <c r="F30" i="164"/>
  <c r="G30" i="164"/>
  <c r="G44" i="186" l="1"/>
  <c r="F45" i="186"/>
  <c r="D45" i="186" s="1"/>
  <c r="F26" i="161"/>
  <c r="G25" i="161"/>
  <c r="G24" i="161"/>
  <c r="G23" i="161"/>
  <c r="H3" i="164"/>
  <c r="E3" i="164"/>
  <c r="E15" i="164" s="1"/>
  <c r="N11" i="164"/>
  <c r="N9" i="164"/>
  <c r="T3" i="164"/>
  <c r="T9" i="164" s="1"/>
  <c r="N13" i="164"/>
  <c r="N5" i="164"/>
  <c r="Q3" i="164"/>
  <c r="S3" i="164"/>
  <c r="P3" i="164"/>
  <c r="U3" i="164"/>
  <c r="O3" i="164"/>
  <c r="N7" i="164"/>
  <c r="M3" i="164"/>
  <c r="R3" i="164"/>
  <c r="V3" i="164"/>
  <c r="G45" i="186" l="1"/>
  <c r="F46" i="186"/>
  <c r="D46" i="186" s="1"/>
  <c r="G46" i="186" s="1"/>
  <c r="G16" i="164"/>
  <c r="F32" i="164"/>
  <c r="E33" i="164"/>
  <c r="E88" i="164"/>
  <c r="E84" i="164"/>
  <c r="E80" i="164"/>
  <c r="E76" i="164"/>
  <c r="E72" i="164"/>
  <c r="E68" i="164"/>
  <c r="E64" i="164"/>
  <c r="E60" i="164"/>
  <c r="E56" i="164"/>
  <c r="E52" i="164"/>
  <c r="E48" i="164"/>
  <c r="E44" i="164"/>
  <c r="E40" i="164"/>
  <c r="E36" i="164"/>
  <c r="E32" i="164"/>
  <c r="E89" i="164"/>
  <c r="E85" i="164"/>
  <c r="E81" i="164"/>
  <c r="E77" i="164"/>
  <c r="E73" i="164"/>
  <c r="E69" i="164"/>
  <c r="E65" i="164"/>
  <c r="E61" i="164"/>
  <c r="E57" i="164"/>
  <c r="E53" i="164"/>
  <c r="E49" i="164"/>
  <c r="E45" i="164"/>
  <c r="E41" i="164"/>
  <c r="E37" i="164"/>
  <c r="E90" i="164"/>
  <c r="E86" i="164"/>
  <c r="E82" i="164"/>
  <c r="E78" i="164"/>
  <c r="E74" i="164"/>
  <c r="E70" i="164"/>
  <c r="E66" i="164"/>
  <c r="E62" i="164"/>
  <c r="E58" i="164"/>
  <c r="E54" i="164"/>
  <c r="E50" i="164"/>
  <c r="E46" i="164"/>
  <c r="E42" i="164"/>
  <c r="E38" i="164"/>
  <c r="E34" i="164"/>
  <c r="E91" i="164"/>
  <c r="E87" i="164"/>
  <c r="E83" i="164"/>
  <c r="E79" i="164"/>
  <c r="E75" i="164"/>
  <c r="E71" i="164"/>
  <c r="E67" i="164"/>
  <c r="E63" i="164"/>
  <c r="E59" i="164"/>
  <c r="E55" i="164"/>
  <c r="E51" i="164"/>
  <c r="E47" i="164"/>
  <c r="E43" i="164"/>
  <c r="E39" i="164"/>
  <c r="E35" i="164"/>
  <c r="T7" i="164"/>
  <c r="G31" i="164"/>
  <c r="N15" i="164"/>
  <c r="N20" i="164" s="1"/>
  <c r="T13" i="164"/>
  <c r="F3" i="164"/>
  <c r="T5" i="164"/>
  <c r="T15" i="164" s="1"/>
  <c r="T11" i="164"/>
  <c r="R7" i="164"/>
  <c r="R9" i="164"/>
  <c r="R11" i="164"/>
  <c r="R13" i="164"/>
  <c r="R5" i="164"/>
  <c r="O9" i="164"/>
  <c r="O7" i="164"/>
  <c r="O13" i="164"/>
  <c r="O11" i="164"/>
  <c r="O5" i="164"/>
  <c r="P7" i="164"/>
  <c r="P11" i="164"/>
  <c r="P9" i="164"/>
  <c r="P5" i="164"/>
  <c r="P13" i="164"/>
  <c r="Q5" i="164"/>
  <c r="Q13" i="164"/>
  <c r="Q7" i="164"/>
  <c r="Q11" i="164"/>
  <c r="Q9" i="164"/>
  <c r="V9" i="164"/>
  <c r="V13" i="164"/>
  <c r="V11" i="164"/>
  <c r="V7" i="164"/>
  <c r="V5" i="164"/>
  <c r="M5" i="164"/>
  <c r="M15" i="164" s="1"/>
  <c r="M13" i="164"/>
  <c r="U13" i="164"/>
  <c r="U11" i="164"/>
  <c r="U9" i="164"/>
  <c r="U7" i="164"/>
  <c r="U5" i="164"/>
  <c r="S11" i="164"/>
  <c r="S9" i="164"/>
  <c r="S5" i="164"/>
  <c r="S13" i="164"/>
  <c r="S7" i="164"/>
  <c r="F47" i="186" l="1"/>
  <c r="D47" i="186" s="1"/>
  <c r="G47" i="186" s="1"/>
  <c r="V15" i="164"/>
  <c r="V20" i="164" s="1"/>
  <c r="V16" i="164" s="1"/>
  <c r="V18" i="164" s="1"/>
  <c r="U15" i="164"/>
  <c r="U20" i="164" s="1"/>
  <c r="U16" i="164" s="1"/>
  <c r="U18" i="164" s="1"/>
  <c r="D32" i="164"/>
  <c r="T20" i="164"/>
  <c r="T16" i="164" s="1"/>
  <c r="T18" i="164" s="1"/>
  <c r="O15" i="164"/>
  <c r="O20" i="164" s="1"/>
  <c r="E92" i="164"/>
  <c r="S15" i="164"/>
  <c r="S20" i="164" s="1"/>
  <c r="S16" i="164" s="1"/>
  <c r="S18" i="164" s="1"/>
  <c r="M20" i="164"/>
  <c r="D23" i="164" s="1"/>
  <c r="I23" i="164" s="1"/>
  <c r="R15" i="164"/>
  <c r="R20" i="164" s="1"/>
  <c r="R16" i="164" s="1"/>
  <c r="R18" i="164" s="1"/>
  <c r="D24" i="164"/>
  <c r="I24" i="164" s="1"/>
  <c r="N16" i="164"/>
  <c r="Q15" i="164"/>
  <c r="Q20" i="164" s="1"/>
  <c r="Q16" i="164" s="1"/>
  <c r="Q18" i="164" s="1"/>
  <c r="P15" i="164"/>
  <c r="P20" i="164" s="1"/>
  <c r="F48" i="186" l="1"/>
  <c r="D48" i="186" s="1"/>
  <c r="G48" i="186" s="1"/>
  <c r="F33" i="164"/>
  <c r="D33" i="164" s="1"/>
  <c r="G33" i="164" s="1"/>
  <c r="G32" i="164"/>
  <c r="M16" i="164"/>
  <c r="E23" i="164" s="1"/>
  <c r="H16" i="164"/>
  <c r="D26" i="164"/>
  <c r="I26" i="164" s="1"/>
  <c r="P16" i="164"/>
  <c r="N18" i="164"/>
  <c r="F24" i="164" s="1"/>
  <c r="E24" i="164"/>
  <c r="D25" i="164"/>
  <c r="I25" i="164" s="1"/>
  <c r="O16" i="164"/>
  <c r="F49" i="186" l="1"/>
  <c r="D49" i="186" s="1"/>
  <c r="F34" i="164"/>
  <c r="D34" i="164" s="1"/>
  <c r="M18" i="164"/>
  <c r="F23" i="164" s="1"/>
  <c r="G23" i="164"/>
  <c r="H23" i="164"/>
  <c r="O18" i="164"/>
  <c r="F25" i="164" s="1"/>
  <c r="E25" i="164"/>
  <c r="H24" i="164"/>
  <c r="G24" i="164"/>
  <c r="P18" i="164"/>
  <c r="F26" i="164" s="1"/>
  <c r="E26" i="164"/>
  <c r="G49" i="186" l="1"/>
  <c r="F50" i="186"/>
  <c r="D50" i="186" s="1"/>
  <c r="F35" i="164"/>
  <c r="D35" i="164" s="1"/>
  <c r="G34" i="164"/>
  <c r="G26" i="164"/>
  <c r="H26" i="164"/>
  <c r="H25" i="164"/>
  <c r="G25" i="164"/>
  <c r="G50" i="186" l="1"/>
  <c r="F51" i="186"/>
  <c r="D51" i="186" s="1"/>
  <c r="G51" i="186" s="1"/>
  <c r="G35" i="164"/>
  <c r="F36" i="164"/>
  <c r="D36" i="164" s="1"/>
  <c r="F52" i="186" l="1"/>
  <c r="D52" i="186" s="1"/>
  <c r="G52" i="186" s="1"/>
  <c r="F37" i="164"/>
  <c r="D37" i="164" s="1"/>
  <c r="G36" i="164"/>
  <c r="F53" i="186" l="1"/>
  <c r="D53" i="186" s="1"/>
  <c r="F38" i="164"/>
  <c r="G37" i="164"/>
  <c r="G53" i="186" l="1"/>
  <c r="F54" i="186"/>
  <c r="D54" i="186" s="1"/>
  <c r="G54" i="186" s="1"/>
  <c r="D38" i="164"/>
  <c r="F55" i="186" l="1"/>
  <c r="D55" i="186" s="1"/>
  <c r="G55" i="186" s="1"/>
  <c r="F39" i="164"/>
  <c r="G38" i="164"/>
  <c r="F56" i="186" l="1"/>
  <c r="D56" i="186" s="1"/>
  <c r="D39" i="164"/>
  <c r="G56" i="186" l="1"/>
  <c r="F57" i="186"/>
  <c r="D57" i="186" s="1"/>
  <c r="G57" i="186" s="1"/>
  <c r="F40" i="164"/>
  <c r="D40" i="164" s="1"/>
  <c r="F41" i="164" s="1"/>
  <c r="G39" i="164"/>
  <c r="F58" i="186" l="1"/>
  <c r="D58" i="186" s="1"/>
  <c r="G58" i="186" s="1"/>
  <c r="G40" i="164"/>
  <c r="D41" i="164"/>
  <c r="F42" i="164" s="1"/>
  <c r="F59" i="186" l="1"/>
  <c r="D59" i="186" s="1"/>
  <c r="G59" i="186" s="1"/>
  <c r="D42" i="164"/>
  <c r="F43" i="164" s="1"/>
  <c r="G41" i="164"/>
  <c r="F60" i="186" l="1"/>
  <c r="D60" i="186" s="1"/>
  <c r="D43" i="164"/>
  <c r="F44" i="164" s="1"/>
  <c r="G42" i="164"/>
  <c r="G60" i="186" l="1"/>
  <c r="F61" i="186"/>
  <c r="D61" i="186" s="1"/>
  <c r="G61" i="186" s="1"/>
  <c r="G43" i="164"/>
  <c r="D44" i="164"/>
  <c r="F45" i="164" s="1"/>
  <c r="F62" i="186" l="1"/>
  <c r="D62" i="186" s="1"/>
  <c r="G62" i="186" s="1"/>
  <c r="G44" i="164"/>
  <c r="D45" i="164"/>
  <c r="F46" i="164" s="1"/>
  <c r="F63" i="186" l="1"/>
  <c r="D63" i="186" s="1"/>
  <c r="D46" i="164"/>
  <c r="F47" i="164" s="1"/>
  <c r="G45" i="164"/>
  <c r="G63" i="186" l="1"/>
  <c r="F64" i="186"/>
  <c r="D64" i="186" s="1"/>
  <c r="G64" i="186" s="1"/>
  <c r="D47" i="164"/>
  <c r="F48" i="164" s="1"/>
  <c r="G46" i="164"/>
  <c r="F65" i="186" l="1"/>
  <c r="D65" i="186" s="1"/>
  <c r="G65" i="186" s="1"/>
  <c r="D48" i="164"/>
  <c r="F49" i="164" s="1"/>
  <c r="G47" i="164"/>
  <c r="F66" i="186" l="1"/>
  <c r="D66" i="186" s="1"/>
  <c r="D49" i="164"/>
  <c r="F50" i="164" s="1"/>
  <c r="G48" i="164"/>
  <c r="G66" i="186" l="1"/>
  <c r="F67" i="186"/>
  <c r="D67" i="186" s="1"/>
  <c r="G67" i="186" s="1"/>
  <c r="D50" i="164"/>
  <c r="F51" i="164" s="1"/>
  <c r="G49" i="164"/>
  <c r="F68" i="186" l="1"/>
  <c r="D68" i="186" s="1"/>
  <c r="F69" i="186" s="1"/>
  <c r="D69" i="186" s="1"/>
  <c r="G69" i="186" s="1"/>
  <c r="D51" i="164"/>
  <c r="F52" i="164" s="1"/>
  <c r="G50" i="164"/>
  <c r="G68" i="186" l="1"/>
  <c r="F70" i="186"/>
  <c r="D70" i="186" s="1"/>
  <c r="G70" i="186" s="1"/>
  <c r="D52" i="164"/>
  <c r="F53" i="164" s="1"/>
  <c r="G51" i="164"/>
  <c r="F71" i="186" l="1"/>
  <c r="D71" i="186" s="1"/>
  <c r="G71" i="186" s="1"/>
  <c r="F72" i="186"/>
  <c r="D72" i="186" s="1"/>
  <c r="D53" i="164"/>
  <c r="F54" i="164" s="1"/>
  <c r="G52" i="164"/>
  <c r="G72" i="186" l="1"/>
  <c r="F73" i="186"/>
  <c r="D73" i="186" s="1"/>
  <c r="D54" i="164"/>
  <c r="F55" i="164" s="1"/>
  <c r="G53" i="164"/>
  <c r="G73" i="186" l="1"/>
  <c r="F74" i="186"/>
  <c r="D74" i="186" s="1"/>
  <c r="D55" i="164"/>
  <c r="F56" i="164" s="1"/>
  <c r="G54" i="164"/>
  <c r="G74" i="186" l="1"/>
  <c r="F75" i="186"/>
  <c r="D75" i="186" s="1"/>
  <c r="D56" i="164"/>
  <c r="F57" i="164" s="1"/>
  <c r="G55" i="164"/>
  <c r="G75" i="186" l="1"/>
  <c r="F76" i="186"/>
  <c r="D76" i="186" s="1"/>
  <c r="D57" i="164"/>
  <c r="F58" i="164" s="1"/>
  <c r="G56" i="164"/>
  <c r="G76" i="186" l="1"/>
  <c r="F77" i="186"/>
  <c r="D77" i="186" s="1"/>
  <c r="D58" i="164"/>
  <c r="F59" i="164" s="1"/>
  <c r="G57" i="164"/>
  <c r="G77" i="186" l="1"/>
  <c r="F78" i="186"/>
  <c r="D78" i="186" s="1"/>
  <c r="D59" i="164"/>
  <c r="F60" i="164" s="1"/>
  <c r="G58" i="164"/>
  <c r="G78" i="186" l="1"/>
  <c r="F79" i="186"/>
  <c r="D79" i="186" s="1"/>
  <c r="D60" i="164"/>
  <c r="F61" i="164" s="1"/>
  <c r="G59" i="164"/>
  <c r="G79" i="186" l="1"/>
  <c r="F80" i="186"/>
  <c r="D80" i="186" s="1"/>
  <c r="D61" i="164"/>
  <c r="F62" i="164" s="1"/>
  <c r="G60" i="164"/>
  <c r="G80" i="186" l="1"/>
  <c r="F81" i="186"/>
  <c r="D81" i="186" s="1"/>
  <c r="D62" i="164"/>
  <c r="F63" i="164" s="1"/>
  <c r="G61" i="164"/>
  <c r="G81" i="186" l="1"/>
  <c r="F82" i="186"/>
  <c r="D82" i="186" s="1"/>
  <c r="D63" i="164"/>
  <c r="F64" i="164" s="1"/>
  <c r="G62" i="164"/>
  <c r="G82" i="186" l="1"/>
  <c r="F83" i="186"/>
  <c r="D83" i="186" s="1"/>
  <c r="D64" i="164"/>
  <c r="F65" i="164" s="1"/>
  <c r="G63" i="164"/>
  <c r="G83" i="186" l="1"/>
  <c r="F84" i="186"/>
  <c r="D84" i="186" s="1"/>
  <c r="D65" i="164"/>
  <c r="F66" i="164" s="1"/>
  <c r="G64" i="164"/>
  <c r="G84" i="186" l="1"/>
  <c r="F85" i="186"/>
  <c r="D85" i="186" s="1"/>
  <c r="D66" i="164"/>
  <c r="F67" i="164" s="1"/>
  <c r="G65" i="164"/>
  <c r="G85" i="186" l="1"/>
  <c r="F86" i="186"/>
  <c r="D86" i="186" s="1"/>
  <c r="D67" i="164"/>
  <c r="F68" i="164" s="1"/>
  <c r="G66" i="164"/>
  <c r="G86" i="186" l="1"/>
  <c r="F87" i="186"/>
  <c r="D87" i="186" s="1"/>
  <c r="D68" i="164"/>
  <c r="F69" i="164" s="1"/>
  <c r="G67" i="164"/>
  <c r="G87" i="186" l="1"/>
  <c r="D89" i="186"/>
  <c r="F7" i="186" s="1"/>
  <c r="F88" i="186"/>
  <c r="D69" i="164"/>
  <c r="F70" i="164" s="1"/>
  <c r="G68" i="164"/>
  <c r="F89" i="186" l="1"/>
  <c r="G88" i="186"/>
  <c r="D70" i="164"/>
  <c r="F71" i="164" s="1"/>
  <c r="G69" i="164"/>
  <c r="F24" i="186" l="1"/>
  <c r="G89" i="186"/>
  <c r="F20" i="186" s="1"/>
  <c r="F22" i="186" s="1"/>
  <c r="D71" i="164"/>
  <c r="F72" i="164" s="1"/>
  <c r="G70" i="164"/>
  <c r="D72" i="164" l="1"/>
  <c r="F73" i="164" s="1"/>
  <c r="G71" i="164"/>
  <c r="D73" i="164" l="1"/>
  <c r="F74" i="164" s="1"/>
  <c r="G72" i="164"/>
  <c r="D74" i="164" l="1"/>
  <c r="F75" i="164" s="1"/>
  <c r="G73" i="164"/>
  <c r="D75" i="164" l="1"/>
  <c r="F76" i="164" s="1"/>
  <c r="G74" i="164"/>
  <c r="D76" i="164" l="1"/>
  <c r="F77" i="164" s="1"/>
  <c r="G75" i="164"/>
  <c r="D77" i="164" l="1"/>
  <c r="F78" i="164" s="1"/>
  <c r="G76" i="164"/>
  <c r="D78" i="164" l="1"/>
  <c r="F79" i="164" s="1"/>
  <c r="G77" i="164"/>
  <c r="D79" i="164" l="1"/>
  <c r="F80" i="164" s="1"/>
  <c r="G78" i="164"/>
  <c r="D80" i="164" l="1"/>
  <c r="F81" i="164" s="1"/>
  <c r="G79" i="164"/>
  <c r="D81" i="164" l="1"/>
  <c r="F82" i="164" s="1"/>
  <c r="G80" i="164"/>
  <c r="D82" i="164" l="1"/>
  <c r="F83" i="164" s="1"/>
  <c r="G81" i="164"/>
  <c r="D83" i="164" l="1"/>
  <c r="F84" i="164" s="1"/>
  <c r="G82" i="164"/>
  <c r="D84" i="164" l="1"/>
  <c r="F85" i="164" s="1"/>
  <c r="G83" i="164"/>
  <c r="D85" i="164" l="1"/>
  <c r="F86" i="164" s="1"/>
  <c r="G84" i="164"/>
  <c r="D86" i="164" l="1"/>
  <c r="F87" i="164" s="1"/>
  <c r="G85" i="164"/>
  <c r="D87" i="164" l="1"/>
  <c r="F88" i="164" s="1"/>
  <c r="G86" i="164"/>
  <c r="D88" i="164" l="1"/>
  <c r="F89" i="164" s="1"/>
  <c r="G87" i="164"/>
  <c r="D89" i="164" l="1"/>
  <c r="F90" i="164" s="1"/>
  <c r="G88" i="164"/>
  <c r="D90" i="164" l="1"/>
  <c r="F91" i="164" s="1"/>
  <c r="G89" i="164"/>
  <c r="F92" i="164" l="1"/>
  <c r="G90" i="164"/>
  <c r="D91" i="164"/>
  <c r="G91" i="164" l="1"/>
  <c r="G92" i="164" s="1"/>
  <c r="F18" i="164" s="1"/>
  <c r="D92" i="164"/>
  <c r="H18" i="164" l="1"/>
  <c r="G18" i="164"/>
  <c r="F20" i="164"/>
  <c r="G20" i="164" s="1"/>
  <c r="E31" i="187" l="1"/>
  <c r="F86" i="187"/>
  <c r="F82" i="187"/>
  <c r="F78" i="187"/>
  <c r="F74" i="187"/>
  <c r="F70" i="187"/>
  <c r="F89" i="187"/>
  <c r="F85" i="187"/>
  <c r="F81" i="187"/>
  <c r="F77" i="187"/>
  <c r="F73" i="187"/>
  <c r="F69" i="187"/>
  <c r="F33" i="187"/>
  <c r="F88" i="187"/>
  <c r="F84" i="187"/>
  <c r="F80" i="187"/>
  <c r="F76" i="187"/>
  <c r="F72" i="187"/>
  <c r="F68" i="187"/>
  <c r="F87" i="187"/>
  <c r="F83" i="187"/>
  <c r="F79" i="187"/>
  <c r="F75" i="187"/>
  <c r="F71" i="187"/>
  <c r="F67" i="187"/>
  <c r="F90" i="187"/>
  <c r="F31" i="187" l="1"/>
  <c r="F32" i="187"/>
  <c r="F55" i="187" l="1"/>
  <c r="F59" i="187"/>
  <c r="F46" i="187"/>
  <c r="F52" i="187"/>
  <c r="F41" i="187"/>
  <c r="F37" i="187"/>
  <c r="F62" i="187"/>
  <c r="F47" i="187"/>
  <c r="F49" i="187"/>
  <c r="F61" i="187"/>
  <c r="F53" i="187"/>
  <c r="F58" i="187" l="1"/>
  <c r="F35" i="187"/>
  <c r="F43" i="187"/>
  <c r="F38" i="187"/>
  <c r="F45" i="187"/>
  <c r="F66" i="187"/>
  <c r="F63" i="187"/>
  <c r="F64" i="187"/>
  <c r="F44" i="187"/>
  <c r="F60" i="187"/>
  <c r="E91" i="187"/>
  <c r="F56" i="187"/>
  <c r="F54" i="187"/>
  <c r="F40" i="187"/>
  <c r="F48" i="187"/>
  <c r="F36" i="187"/>
  <c r="F39" i="187"/>
  <c r="F42" i="187"/>
  <c r="F34" i="187"/>
  <c r="D91" i="187"/>
  <c r="F50" i="187"/>
  <c r="F51" i="187"/>
  <c r="F65" i="187"/>
  <c r="F57" i="187"/>
  <c r="F91" i="187" l="1"/>
  <c r="F22" i="187" s="1"/>
  <c r="F24" i="187" s="1"/>
  <c r="F26" i="187"/>
</calcChain>
</file>

<file path=xl/sharedStrings.xml><?xml version="1.0" encoding="utf-8"?>
<sst xmlns="http://schemas.openxmlformats.org/spreadsheetml/2006/main" count="189" uniqueCount="95">
  <si>
    <t>12 міс.</t>
  </si>
  <si>
    <t>18 міс.</t>
  </si>
  <si>
    <t>Щомісячний платіж</t>
  </si>
  <si>
    <t>Всього</t>
  </si>
  <si>
    <t>Місяць</t>
  </si>
  <si>
    <t>Безкоштовна гаряча телефонна лінія:</t>
  </si>
  <si>
    <t xml:space="preserve">                   8-800-505-20-30</t>
  </si>
  <si>
    <t>Інший термін</t>
  </si>
  <si>
    <t>12 місяців</t>
  </si>
  <si>
    <t>щом. пл.</t>
  </si>
  <si>
    <t>річна</t>
  </si>
  <si>
    <t>щом. Ком.</t>
  </si>
  <si>
    <t>РКО</t>
  </si>
  <si>
    <t>перепл</t>
  </si>
  <si>
    <t>%</t>
  </si>
  <si>
    <t>В день</t>
  </si>
  <si>
    <t>В місяць</t>
  </si>
  <si>
    <t>Переплата в місяць</t>
  </si>
  <si>
    <t>Переплата у відсотках за весь період</t>
  </si>
  <si>
    <t>Переплата в день</t>
  </si>
  <si>
    <t>Код</t>
  </si>
  <si>
    <t>Cash out, грн.</t>
  </si>
  <si>
    <t>9 місяців</t>
  </si>
  <si>
    <t>6 місяців</t>
  </si>
  <si>
    <t>14 місяців</t>
  </si>
  <si>
    <t>Макс. сума</t>
  </si>
  <si>
    <t>термін</t>
  </si>
  <si>
    <t>% ставка</t>
  </si>
  <si>
    <t>РКО+Страхування</t>
  </si>
  <si>
    <t>Щомісячна комісія</t>
  </si>
  <si>
    <t>max.</t>
  </si>
  <si>
    <t>грн.</t>
  </si>
  <si>
    <t>сума кредиту</t>
  </si>
  <si>
    <t>Щодененний платіж</t>
  </si>
  <si>
    <t>Переплата у грн.               за весь період</t>
  </si>
  <si>
    <t>к-ть днів у місяці</t>
  </si>
  <si>
    <t>24 місяців</t>
  </si>
  <si>
    <t>18 місяців</t>
  </si>
  <si>
    <t>Початкова комісія</t>
  </si>
  <si>
    <t>Крок</t>
  </si>
  <si>
    <t>36 міс.</t>
  </si>
  <si>
    <t>Термін</t>
  </si>
  <si>
    <t>Продукт</t>
  </si>
  <si>
    <t>48 міс.</t>
  </si>
  <si>
    <t>60 міс.</t>
  </si>
  <si>
    <t>Дохід клієнта</t>
  </si>
  <si>
    <t>30 міс.</t>
  </si>
  <si>
    <t>24 міс.</t>
  </si>
  <si>
    <t>6 міс.</t>
  </si>
  <si>
    <t>Максимальна сума на руки</t>
  </si>
  <si>
    <t>Масимальна сума на руки по кредиту</t>
  </si>
  <si>
    <t>5 міс.</t>
  </si>
  <si>
    <t>4 міс.</t>
  </si>
  <si>
    <t>3 міс.</t>
  </si>
  <si>
    <t>2 міс.</t>
  </si>
  <si>
    <t>1 міс.</t>
  </si>
  <si>
    <t>Для Вас Х</t>
  </si>
  <si>
    <t>Основний дохід</t>
  </si>
  <si>
    <t>Додатковий дохід:</t>
  </si>
  <si>
    <t>Дохід від депозиту</t>
  </si>
  <si>
    <t>Дохід від надання нерухомості в оренду</t>
  </si>
  <si>
    <t>Аліменти</t>
  </si>
  <si>
    <t>Дохід від підприємницької діяльності</t>
  </si>
  <si>
    <t>Дохід від неофіційної діяльності</t>
  </si>
  <si>
    <t>Бюджетний Х_ПУМБ</t>
  </si>
  <si>
    <t>Пенсійний Х_ПУМБ</t>
  </si>
  <si>
    <t>Пенсійний, 24 міс.</t>
  </si>
  <si>
    <t>BIG CASH, 12 міс.</t>
  </si>
  <si>
    <t>Простий, 12 міс.</t>
  </si>
  <si>
    <t>Єдиний, 12 міс. А</t>
  </si>
  <si>
    <t>Єдиний, 36 міс. D</t>
  </si>
  <si>
    <t>Разовий страховий тариф, %</t>
  </si>
  <si>
    <t xml:space="preserve">Щомісячна плата за обслуговування кредитної заборгованості, % </t>
  </si>
  <si>
    <t>Розмір щомісячної плати за обслуговування кредитної заборгованості, грн.</t>
  </si>
  <si>
    <t>Проценти за користування кредитом, грн.</t>
  </si>
  <si>
    <t>Погашення суми кредиту, грн.</t>
  </si>
  <si>
    <t>Сума платежу за розрахунковий період, грн.</t>
  </si>
  <si>
    <t>Орієнтовний порядок повернення кредиту</t>
  </si>
  <si>
    <t>Орієнтовні загальні витрати за кредитом, грн.</t>
  </si>
  <si>
    <t>№ з/п</t>
  </si>
  <si>
    <r>
      <rPr>
        <b/>
        <sz val="10"/>
        <color rgb="FFFF0000"/>
        <rFont val="Arial"/>
        <family val="2"/>
        <charset val="204"/>
      </rPr>
      <t>!!!</t>
    </r>
    <r>
      <rPr>
        <b/>
        <sz val="10"/>
        <rFont val="Arial"/>
        <family val="2"/>
        <charset val="204"/>
      </rPr>
      <t>Оберіть термін кредиту</t>
    </r>
  </si>
  <si>
    <t>Сума кредиту з врахуванням страхівки, грн.</t>
  </si>
  <si>
    <r>
      <rPr>
        <b/>
        <sz val="11"/>
        <color rgb="FFFF0000"/>
        <rFont val="Arial Cyr"/>
        <charset val="204"/>
      </rPr>
      <t>!!!</t>
    </r>
    <r>
      <rPr>
        <b/>
        <sz val="11"/>
        <rFont val="Arial Cyr"/>
        <family val="2"/>
        <charset val="204"/>
      </rPr>
      <t xml:space="preserve">Введіть бажану суму кредиту </t>
    </r>
    <r>
      <rPr>
        <b/>
        <i/>
        <sz val="11"/>
        <rFont val="Arial Cyr"/>
        <family val="2"/>
        <charset val="204"/>
      </rPr>
      <t>(без врахування страхівки)</t>
    </r>
  </si>
  <si>
    <t>Орієнтовна загальна вартість кредиту, грн.</t>
  </si>
  <si>
    <t>Орієнтовний платіж, грн.</t>
  </si>
  <si>
    <t>Термін кредитування (міс.)</t>
  </si>
  <si>
    <t>Процентна ставка базова, % річних</t>
  </si>
  <si>
    <t>Процентна ставка знижена, % річних</t>
  </si>
  <si>
    <t xml:space="preserve">% ставка знижена </t>
  </si>
  <si>
    <t>Реальна річна процентна ставка, %</t>
  </si>
  <si>
    <t xml:space="preserve">Цільовий, 60 міс. </t>
  </si>
  <si>
    <t xml:space="preserve">Цільовий, 36 міс. </t>
  </si>
  <si>
    <t xml:space="preserve">Цільовий, 24 міс. </t>
  </si>
  <si>
    <t xml:space="preserve">Цільовий, 12 міс. </t>
  </si>
  <si>
    <t>max. 500000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</si>
</sst>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 _-;\-* #,##0.00\ _ _-;_-* &quot;-&quot;??\ _ _-;_-@_-"/>
    <numFmt numFmtId="165" formatCode="#&quot; &quot;##0"/>
    <numFmt numFmtId="166" formatCode="0.0%"/>
    <numFmt numFmtId="167" formatCode="#&quot; &quot;##0.0"/>
    <numFmt numFmtId="168" formatCode="#&quot; &quot;##0.00"/>
    <numFmt numFmtId="169" formatCode="#&quot; &quot;##0.00\ [$грн.-422]"/>
    <numFmt numFmtId="170" formatCode="#&quot; &quot;##0.0\ [$грн.-422]"/>
    <numFmt numFmtId="171" formatCode="0.0"/>
    <numFmt numFmtId="172" formatCode="_-* #&quot; &quot;##0.0\ _ _-;\-* #&quot; &quot;##0.0\ _ _-;_-* &quot;-&quot;??\ _ _-;_-@_-"/>
    <numFmt numFmtId="173" formatCode="_-* #&quot; &quot;##0\ _ _-;\-* #&quot; &quot;##0\ _ _-;_-* &quot;-&quot;??\ _ _-;_-@_-"/>
    <numFmt numFmtId="174" formatCode="#&quot; &quot;##0_ ;\-#&quot; &quot;##0\ "/>
    <numFmt numFmtId="175" formatCode="0.0000%"/>
    <numFmt numFmtId="176" formatCode="0.000000%"/>
    <numFmt numFmtId="177" formatCode="#,##0.00&quot;₴&quot;"/>
    <numFmt numFmtId="178" formatCode="_-* #,##0.00&quot; &quot;_-;\-* #,##0.00&quot; &quot;_-;_-* &quot;-&quot;??&quot; &quot;_-;_-@_-"/>
    <numFmt numFmtId="179" formatCode="_-* #,##0\ _ _-;\-* #,##0\ _ _-;_-* &quot;-&quot;??\ _ _-;_-@_-"/>
    <numFmt numFmtId="180" formatCode="####&quot; &quot;##0.0"/>
  </numFmts>
  <fonts count="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38"/>
    </font>
    <font>
      <b/>
      <sz val="10"/>
      <name val="Arial Cyr"/>
      <family val="2"/>
      <charset val="204"/>
    </font>
    <font>
      <sz val="10"/>
      <color indexed="9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color indexed="22"/>
      <name val="Arial Cyr"/>
      <family val="2"/>
      <charset val="204"/>
    </font>
    <font>
      <sz val="10"/>
      <color indexed="22"/>
      <name val="Arial"/>
      <family val="2"/>
      <charset val="204"/>
    </font>
    <font>
      <b/>
      <sz val="14"/>
      <name val="Arial Cyr"/>
      <family val="2"/>
      <charset val="204"/>
    </font>
    <font>
      <b/>
      <sz val="12"/>
      <name val="Arial Cyr"/>
      <family val="2"/>
      <charset val="204"/>
    </font>
    <font>
      <b/>
      <sz val="16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9"/>
      <name val="Arial"/>
      <family val="2"/>
      <charset val="204"/>
    </font>
    <font>
      <b/>
      <sz val="8"/>
      <color indexed="22"/>
      <name val="Arial"/>
      <family val="2"/>
      <charset val="204"/>
    </font>
    <font>
      <b/>
      <sz val="10"/>
      <color indexed="22"/>
      <name val="Arial"/>
      <family val="2"/>
      <charset val="204"/>
    </font>
    <font>
      <sz val="8"/>
      <name val="Arial"/>
      <family val="2"/>
      <charset val="204"/>
    </font>
    <font>
      <b/>
      <sz val="10"/>
      <name val="Arial Cyr"/>
      <charset val="204"/>
    </font>
    <font>
      <b/>
      <sz val="7.5"/>
      <name val="Arial"/>
      <family val="2"/>
      <charset val="204"/>
    </font>
    <font>
      <sz val="10"/>
      <name val="Arial Cyr"/>
      <charset val="204"/>
    </font>
    <font>
      <sz val="10"/>
      <color indexed="55"/>
      <name val="Arial Cyr"/>
      <charset val="204"/>
    </font>
    <font>
      <sz val="10"/>
      <color indexed="55"/>
      <name val="Arial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theme="0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sz val="10"/>
      <color theme="0"/>
      <name val="Arial"/>
      <family val="2"/>
      <charset val="204"/>
    </font>
    <font>
      <sz val="8"/>
      <color theme="0"/>
      <name val="Arial"/>
      <family val="2"/>
      <charset val="204"/>
    </font>
    <font>
      <b/>
      <sz val="10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b/>
      <u/>
      <sz val="11"/>
      <color rgb="FFFF0000"/>
      <name val="Arial Narrow"/>
      <family val="2"/>
      <charset val="204"/>
    </font>
    <font>
      <b/>
      <sz val="10"/>
      <color theme="1"/>
      <name val="Arial Cyr"/>
      <family val="2"/>
      <charset val="204"/>
    </font>
    <font>
      <sz val="10"/>
      <color theme="0"/>
      <name val="Arial Cyr"/>
      <charset val="204"/>
    </font>
    <font>
      <sz val="12"/>
      <name val="Arial Cyr"/>
      <charset val="204"/>
    </font>
    <font>
      <i/>
      <sz val="10"/>
      <name val="Arial Cyr"/>
      <charset val="204"/>
    </font>
    <font>
      <b/>
      <u/>
      <sz val="9"/>
      <name val="Arial"/>
      <family val="2"/>
      <charset val="204"/>
    </font>
    <font>
      <b/>
      <sz val="11"/>
      <name val="Arial Cyr"/>
      <family val="2"/>
      <charset val="204"/>
    </font>
    <font>
      <b/>
      <i/>
      <sz val="11"/>
      <name val="Arial Cyr"/>
      <family val="2"/>
      <charset val="204"/>
    </font>
    <font>
      <b/>
      <sz val="16"/>
      <color theme="1"/>
      <name val="Arial"/>
      <family val="2"/>
      <charset val="204"/>
    </font>
    <font>
      <b/>
      <sz val="11"/>
      <color rgb="FFFF0000"/>
      <name val="Arial Cyr"/>
      <charset val="204"/>
    </font>
    <font>
      <b/>
      <sz val="11"/>
      <name val="Arial Cyr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fgColor rgb="FFFF0000"/>
      </patternFill>
    </fill>
    <fill>
      <patternFill patternType="solid">
        <fgColor theme="5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5">
    <xf numFmtId="0" fontId="0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</cellStyleXfs>
  <cellXfs count="311">
    <xf numFmtId="0" fontId="0" fillId="0" borderId="0" xfId="0"/>
    <xf numFmtId="0" fontId="9" fillId="3" borderId="0" xfId="23" applyFont="1" applyFill="1"/>
    <xf numFmtId="0" fontId="5" fillId="3" borderId="0" xfId="23" applyFill="1"/>
    <xf numFmtId="0" fontId="0" fillId="3" borderId="0" xfId="0" applyFill="1"/>
    <xf numFmtId="0" fontId="5" fillId="0" borderId="0" xfId="23"/>
    <xf numFmtId="0" fontId="8" fillId="3" borderId="0" xfId="0" applyFont="1" applyFill="1"/>
    <xf numFmtId="1" fontId="5" fillId="3" borderId="0" xfId="23" applyNumberFormat="1" applyFill="1" applyAlignment="1">
      <alignment vertical="top" wrapText="1"/>
    </xf>
    <xf numFmtId="10" fontId="4" fillId="0" borderId="1" xfId="23" applyNumberFormat="1" applyFont="1" applyBorder="1" applyAlignment="1">
      <alignment horizontal="center"/>
    </xf>
    <xf numFmtId="10" fontId="17" fillId="0" borderId="1" xfId="23" applyNumberFormat="1" applyFont="1" applyBorder="1" applyAlignment="1">
      <alignment horizontal="center"/>
    </xf>
    <xf numFmtId="10" fontId="4" fillId="3" borderId="0" xfId="23" applyNumberFormat="1" applyFont="1" applyFill="1" applyAlignment="1">
      <alignment horizontal="center"/>
    </xf>
    <xf numFmtId="0" fontId="11" fillId="3" borderId="0" xfId="0" applyFont="1" applyFill="1"/>
    <xf numFmtId="0" fontId="18" fillId="3" borderId="0" xfId="23" applyFont="1" applyFill="1" applyAlignment="1">
      <alignment horizontal="center"/>
    </xf>
    <xf numFmtId="0" fontId="9" fillId="0" borderId="0" xfId="23" applyFont="1"/>
    <xf numFmtId="169" fontId="4" fillId="0" borderId="1" xfId="23" applyNumberFormat="1" applyFont="1" applyBorder="1" applyAlignment="1">
      <alignment horizontal="center"/>
    </xf>
    <xf numFmtId="169" fontId="17" fillId="0" borderId="1" xfId="23" applyNumberFormat="1" applyFont="1" applyBorder="1" applyAlignment="1">
      <alignment horizontal="center"/>
    </xf>
    <xf numFmtId="0" fontId="8" fillId="3" borderId="0" xfId="0" applyFont="1" applyFill="1" applyAlignment="1">
      <alignment horizontal="left"/>
    </xf>
    <xf numFmtId="169" fontId="4" fillId="3" borderId="0" xfId="23" applyNumberFormat="1" applyFont="1" applyFill="1" applyAlignment="1">
      <alignment horizontal="center"/>
    </xf>
    <xf numFmtId="0" fontId="20" fillId="3" borderId="0" xfId="23" applyFont="1" applyFill="1"/>
    <xf numFmtId="0" fontId="19" fillId="3" borderId="0" xfId="23" applyFont="1" applyFill="1" applyAlignment="1">
      <alignment horizontal="center"/>
    </xf>
    <xf numFmtId="0" fontId="8" fillId="3" borderId="2" xfId="0" applyFont="1" applyFill="1" applyBorder="1" applyAlignment="1">
      <alignment horizontal="left"/>
    </xf>
    <xf numFmtId="169" fontId="4" fillId="3" borderId="2" xfId="23" applyNumberFormat="1" applyFont="1" applyFill="1" applyBorder="1"/>
    <xf numFmtId="166" fontId="4" fillId="0" borderId="1" xfId="23" applyNumberFormat="1" applyFont="1" applyBorder="1" applyAlignment="1">
      <alignment horizontal="center"/>
    </xf>
    <xf numFmtId="10" fontId="17" fillId="2" borderId="1" xfId="23" applyNumberFormat="1" applyFont="1" applyFill="1" applyBorder="1" applyAlignment="1">
      <alignment horizontal="center" vertical="center" wrapText="1"/>
    </xf>
    <xf numFmtId="170" fontId="21" fillId="0" borderId="1" xfId="23" applyNumberFormat="1" applyFont="1" applyBorder="1" applyAlignment="1">
      <alignment horizontal="center"/>
    </xf>
    <xf numFmtId="169" fontId="21" fillId="0" borderId="1" xfId="23" applyNumberFormat="1" applyFont="1" applyBorder="1" applyAlignment="1">
      <alignment horizontal="center"/>
    </xf>
    <xf numFmtId="169" fontId="21" fillId="3" borderId="1" xfId="23" applyNumberFormat="1" applyFont="1" applyFill="1" applyBorder="1" applyAlignment="1">
      <alignment horizontal="center"/>
    </xf>
    <xf numFmtId="165" fontId="5" fillId="3" borderId="0" xfId="23" applyNumberFormat="1" applyFill="1"/>
    <xf numFmtId="0" fontId="12" fillId="3" borderId="0" xfId="0" applyFont="1" applyFill="1"/>
    <xf numFmtId="165" fontId="13" fillId="3" borderId="0" xfId="23" applyNumberFormat="1" applyFont="1" applyFill="1"/>
    <xf numFmtId="0" fontId="13" fillId="3" borderId="0" xfId="23" applyFont="1" applyFill="1"/>
    <xf numFmtId="4" fontId="18" fillId="3" borderId="3" xfId="23" applyNumberFormat="1" applyFont="1" applyFill="1" applyBorder="1" applyAlignment="1">
      <alignment horizontal="center"/>
    </xf>
    <xf numFmtId="2" fontId="5" fillId="0" borderId="1" xfId="23" applyNumberFormat="1" applyBorder="1"/>
    <xf numFmtId="167" fontId="5" fillId="0" borderId="1" xfId="23" applyNumberFormat="1" applyBorder="1"/>
    <xf numFmtId="0" fontId="7" fillId="3" borderId="0" xfId="23" applyFont="1" applyFill="1" applyAlignment="1">
      <alignment horizontal="right"/>
    </xf>
    <xf numFmtId="10" fontId="7" fillId="3" borderId="0" xfId="23" applyNumberFormat="1" applyFont="1" applyFill="1"/>
    <xf numFmtId="0" fontId="4" fillId="3" borderId="0" xfId="23" applyFont="1" applyFill="1" applyAlignment="1">
      <alignment horizontal="right"/>
    </xf>
    <xf numFmtId="9" fontId="4" fillId="3" borderId="0" xfId="23" applyNumberFormat="1" applyFont="1" applyFill="1" applyAlignment="1">
      <alignment horizontal="left"/>
    </xf>
    <xf numFmtId="9" fontId="5" fillId="3" borderId="0" xfId="23" applyNumberFormat="1" applyFill="1" applyAlignment="1">
      <alignment horizontal="left"/>
    </xf>
    <xf numFmtId="10" fontId="4" fillId="3" borderId="1" xfId="23" applyNumberFormat="1" applyFont="1" applyFill="1" applyBorder="1" applyAlignment="1">
      <alignment horizontal="center"/>
    </xf>
    <xf numFmtId="1" fontId="4" fillId="3" borderId="5" xfId="23" applyNumberFormat="1" applyFont="1" applyFill="1" applyBorder="1" applyAlignment="1">
      <alignment horizontal="center" vertical="center"/>
    </xf>
    <xf numFmtId="9" fontId="4" fillId="0" borderId="0" xfId="23" applyNumberFormat="1" applyFont="1" applyAlignment="1">
      <alignment horizontal="left"/>
    </xf>
    <xf numFmtId="9" fontId="5" fillId="0" borderId="0" xfId="23" applyNumberFormat="1" applyAlignment="1">
      <alignment horizontal="left"/>
    </xf>
    <xf numFmtId="0" fontId="17" fillId="3" borderId="0" xfId="23" applyFont="1" applyFill="1" applyAlignment="1">
      <alignment horizontal="center"/>
    </xf>
    <xf numFmtId="0" fontId="4" fillId="3" borderId="0" xfId="23" applyFont="1" applyFill="1"/>
    <xf numFmtId="10" fontId="4" fillId="3" borderId="0" xfId="46" applyNumberFormat="1" applyFont="1" applyFill="1" applyAlignment="1" applyProtection="1">
      <alignment horizontal="center" vertical="top" wrapText="1"/>
    </xf>
    <xf numFmtId="169" fontId="5" fillId="0" borderId="3" xfId="23" applyNumberFormat="1" applyBorder="1" applyAlignment="1">
      <alignment horizontal="center"/>
    </xf>
    <xf numFmtId="169" fontId="5" fillId="0" borderId="4" xfId="23" applyNumberFormat="1" applyBorder="1" applyAlignment="1">
      <alignment horizontal="center"/>
    </xf>
    <xf numFmtId="0" fontId="4" fillId="3" borderId="6" xfId="23" applyFont="1" applyFill="1" applyBorder="1"/>
    <xf numFmtId="9" fontId="17" fillId="3" borderId="0" xfId="23" applyNumberFormat="1" applyFont="1" applyFill="1" applyAlignment="1">
      <alignment horizontal="center"/>
    </xf>
    <xf numFmtId="0" fontId="17" fillId="0" borderId="0" xfId="23" applyFont="1" applyAlignment="1">
      <alignment horizontal="center"/>
    </xf>
    <xf numFmtId="0" fontId="24" fillId="3" borderId="0" xfId="0" applyFont="1" applyFill="1"/>
    <xf numFmtId="0" fontId="25" fillId="3" borderId="0" xfId="0" applyFont="1" applyFill="1"/>
    <xf numFmtId="0" fontId="26" fillId="0" borderId="0" xfId="23" applyFont="1"/>
    <xf numFmtId="0" fontId="26" fillId="3" borderId="0" xfId="23" applyFont="1" applyFill="1"/>
    <xf numFmtId="0" fontId="29" fillId="0" borderId="0" xfId="23" applyFont="1"/>
    <xf numFmtId="0" fontId="30" fillId="0" borderId="0" xfId="23" applyFont="1"/>
    <xf numFmtId="1" fontId="29" fillId="0" borderId="0" xfId="23" applyNumberFormat="1" applyFont="1"/>
    <xf numFmtId="0" fontId="31" fillId="3" borderId="0" xfId="23" applyFont="1" applyFill="1"/>
    <xf numFmtId="0" fontId="8" fillId="0" borderId="0" xfId="0" applyFont="1" applyAlignment="1">
      <alignment horizontal="left"/>
    </xf>
    <xf numFmtId="0" fontId="30" fillId="3" borderId="0" xfId="23" applyFont="1" applyFill="1"/>
    <xf numFmtId="0" fontId="9" fillId="4" borderId="0" xfId="23" applyFont="1" applyFill="1"/>
    <xf numFmtId="0" fontId="5" fillId="4" borderId="0" xfId="23" applyFill="1"/>
    <xf numFmtId="0" fontId="4" fillId="4" borderId="0" xfId="23" applyFont="1" applyFill="1"/>
    <xf numFmtId="0" fontId="0" fillId="4" borderId="0" xfId="0" applyFill="1"/>
    <xf numFmtId="174" fontId="4" fillId="3" borderId="1" xfId="47" applyNumberFormat="1" applyFont="1" applyFill="1" applyBorder="1" applyAlignment="1" applyProtection="1">
      <alignment horizontal="center"/>
    </xf>
    <xf numFmtId="1" fontId="29" fillId="0" borderId="0" xfId="46" applyNumberFormat="1" applyFont="1" applyFill="1" applyProtection="1"/>
    <xf numFmtId="1" fontId="29" fillId="0" borderId="0" xfId="48" applyNumberFormat="1" applyFont="1" applyFill="1" applyProtection="1"/>
    <xf numFmtId="9" fontId="29" fillId="0" borderId="0" xfId="24" applyFont="1" applyFill="1" applyProtection="1"/>
    <xf numFmtId="10" fontId="29" fillId="0" borderId="0" xfId="24" applyNumberFormat="1" applyFont="1" applyFill="1" applyProtection="1"/>
    <xf numFmtId="0" fontId="21" fillId="0" borderId="0" xfId="23" applyFont="1"/>
    <xf numFmtId="0" fontId="27" fillId="2" borderId="1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0" borderId="0" xfId="23" applyFont="1"/>
    <xf numFmtId="172" fontId="29" fillId="0" borderId="0" xfId="47" applyNumberFormat="1" applyFont="1" applyFill="1" applyProtection="1"/>
    <xf numFmtId="173" fontId="29" fillId="0" borderId="0" xfId="47" applyNumberFormat="1" applyFont="1" applyFill="1" applyProtection="1"/>
    <xf numFmtId="166" fontId="5" fillId="0" borderId="3" xfId="24" applyNumberFormat="1" applyFont="1" applyFill="1" applyBorder="1" applyAlignment="1" applyProtection="1">
      <alignment horizontal="center"/>
    </xf>
    <xf numFmtId="166" fontId="5" fillId="0" borderId="4" xfId="24" applyNumberFormat="1" applyFont="1" applyFill="1" applyBorder="1" applyAlignment="1" applyProtection="1">
      <alignment horizontal="center"/>
    </xf>
    <xf numFmtId="171" fontId="32" fillId="3" borderId="0" xfId="23" applyNumberFormat="1" applyFont="1" applyFill="1" applyAlignment="1">
      <alignment horizontal="center" vertical="center"/>
    </xf>
    <xf numFmtId="171" fontId="4" fillId="0" borderId="1" xfId="23" applyNumberFormat="1" applyFont="1" applyBorder="1" applyAlignment="1">
      <alignment horizontal="center"/>
    </xf>
    <xf numFmtId="171" fontId="17" fillId="0" borderId="1" xfId="23" applyNumberFormat="1" applyFont="1" applyBorder="1" applyAlignment="1">
      <alignment horizontal="center"/>
    </xf>
    <xf numFmtId="1" fontId="16" fillId="0" borderId="7" xfId="23" applyNumberFormat="1" applyFont="1" applyBorder="1" applyAlignment="1" applyProtection="1">
      <alignment horizontal="center" vertical="top" wrapText="1"/>
      <protection locked="0"/>
    </xf>
    <xf numFmtId="1" fontId="4" fillId="0" borderId="7" xfId="23" applyNumberFormat="1" applyFont="1" applyBorder="1" applyAlignment="1">
      <alignment horizontal="center" vertical="center"/>
    </xf>
    <xf numFmtId="0" fontId="8" fillId="0" borderId="0" xfId="0" applyFont="1"/>
    <xf numFmtId="1" fontId="5" fillId="0" borderId="0" xfId="23" applyNumberFormat="1" applyAlignment="1">
      <alignment vertical="top" wrapText="1"/>
    </xf>
    <xf numFmtId="0" fontId="4" fillId="0" borderId="0" xfId="23" applyFont="1"/>
    <xf numFmtId="0" fontId="8" fillId="0" borderId="2" xfId="0" applyFont="1" applyBorder="1" applyAlignment="1">
      <alignment horizontal="left"/>
    </xf>
    <xf numFmtId="10" fontId="4" fillId="0" borderId="0" xfId="23" applyNumberFormat="1" applyFont="1" applyAlignment="1">
      <alignment horizontal="center"/>
    </xf>
    <xf numFmtId="10" fontId="4" fillId="0" borderId="0" xfId="46" applyNumberFormat="1" applyFont="1" applyFill="1" applyAlignment="1" applyProtection="1">
      <alignment horizontal="center" vertical="top" wrapText="1"/>
    </xf>
    <xf numFmtId="174" fontId="4" fillId="0" borderId="1" xfId="47" applyNumberFormat="1" applyFont="1" applyFill="1" applyBorder="1" applyAlignment="1" applyProtection="1">
      <alignment horizontal="center"/>
    </xf>
    <xf numFmtId="0" fontId="11" fillId="0" borderId="0" xfId="0" applyFont="1"/>
    <xf numFmtId="1" fontId="31" fillId="0" borderId="0" xfId="23" applyNumberFormat="1" applyFont="1" applyAlignment="1">
      <alignment vertical="top" wrapText="1"/>
    </xf>
    <xf numFmtId="0" fontId="18" fillId="0" borderId="0" xfId="23" applyFont="1" applyAlignment="1">
      <alignment horizontal="center"/>
    </xf>
    <xf numFmtId="165" fontId="31" fillId="0" borderId="0" xfId="23" applyNumberFormat="1" applyFont="1"/>
    <xf numFmtId="169" fontId="4" fillId="0" borderId="0" xfId="23" applyNumberFormat="1" applyFont="1" applyAlignment="1">
      <alignment horizontal="center"/>
    </xf>
    <xf numFmtId="0" fontId="20" fillId="0" borderId="0" xfId="23" applyFont="1"/>
    <xf numFmtId="0" fontId="19" fillId="0" borderId="0" xfId="23" applyFont="1" applyAlignment="1">
      <alignment horizontal="center"/>
    </xf>
    <xf numFmtId="169" fontId="4" fillId="0" borderId="2" xfId="23" applyNumberFormat="1" applyFont="1" applyBorder="1"/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10" fontId="17" fillId="0" borderId="1" xfId="23" applyNumberFormat="1" applyFont="1" applyBorder="1" applyAlignment="1">
      <alignment horizontal="center" vertical="center" wrapText="1"/>
    </xf>
    <xf numFmtId="165" fontId="5" fillId="0" borderId="0" xfId="23" applyNumberFormat="1"/>
    <xf numFmtId="0" fontId="12" fillId="0" borderId="0" xfId="0" applyFont="1"/>
    <xf numFmtId="165" fontId="13" fillId="0" borderId="0" xfId="23" applyNumberFormat="1" applyFont="1"/>
    <xf numFmtId="0" fontId="13" fillId="0" borderId="0" xfId="23" applyFont="1"/>
    <xf numFmtId="165" fontId="17" fillId="0" borderId="8" xfId="23" applyNumberFormat="1" applyFont="1" applyBorder="1" applyAlignment="1">
      <alignment horizontal="center" vertical="center" wrapText="1"/>
    </xf>
    <xf numFmtId="0" fontId="7" fillId="0" borderId="0" xfId="23" applyFont="1" applyAlignment="1">
      <alignment horizontal="right"/>
    </xf>
    <xf numFmtId="10" fontId="7" fillId="0" borderId="0" xfId="23" applyNumberFormat="1" applyFont="1"/>
    <xf numFmtId="0" fontId="4" fillId="0" borderId="0" xfId="23" applyFont="1" applyAlignment="1">
      <alignment horizontal="right"/>
    </xf>
    <xf numFmtId="9" fontId="17" fillId="0" borderId="0" xfId="23" applyNumberFormat="1" applyFont="1" applyAlignment="1">
      <alignment horizontal="center"/>
    </xf>
    <xf numFmtId="0" fontId="30" fillId="4" borderId="0" xfId="23" applyFont="1" applyFill="1"/>
    <xf numFmtId="0" fontId="33" fillId="4" borderId="0" xfId="23" applyFont="1" applyFill="1" applyAlignment="1">
      <alignment horizontal="center"/>
    </xf>
    <xf numFmtId="10" fontId="34" fillId="3" borderId="0" xfId="23" applyNumberFormat="1" applyFont="1" applyFill="1" applyAlignment="1">
      <alignment horizontal="center"/>
    </xf>
    <xf numFmtId="0" fontId="9" fillId="3" borderId="9" xfId="23" applyFont="1" applyFill="1" applyBorder="1"/>
    <xf numFmtId="0" fontId="5" fillId="3" borderId="10" xfId="23" applyFill="1" applyBorder="1"/>
    <xf numFmtId="4" fontId="5" fillId="3" borderId="11" xfId="23" applyNumberFormat="1" applyFill="1" applyBorder="1"/>
    <xf numFmtId="168" fontId="10" fillId="2" borderId="13" xfId="23" applyNumberFormat="1" applyFont="1" applyFill="1" applyBorder="1" applyAlignment="1">
      <alignment horizontal="right" vertical="center"/>
    </xf>
    <xf numFmtId="0" fontId="36" fillId="3" borderId="0" xfId="0" applyFont="1" applyFill="1"/>
    <xf numFmtId="1" fontId="4" fillId="6" borderId="7" xfId="23" applyNumberFormat="1" applyFont="1" applyFill="1" applyBorder="1" applyAlignment="1">
      <alignment horizontal="center" vertical="center"/>
    </xf>
    <xf numFmtId="1" fontId="16" fillId="7" borderId="7" xfId="23" applyNumberFormat="1" applyFont="1" applyFill="1" applyBorder="1" applyAlignment="1" applyProtection="1">
      <alignment horizontal="center" vertical="top" wrapText="1"/>
      <protection locked="0"/>
    </xf>
    <xf numFmtId="165" fontId="17" fillId="5" borderId="8" xfId="23" applyNumberFormat="1" applyFont="1" applyFill="1" applyBorder="1" applyAlignment="1">
      <alignment horizontal="center" vertical="center" wrapText="1"/>
    </xf>
    <xf numFmtId="0" fontId="37" fillId="3" borderId="0" xfId="23" applyFont="1" applyFill="1"/>
    <xf numFmtId="2" fontId="4" fillId="0" borderId="1" xfId="23" applyNumberFormat="1" applyFont="1" applyBorder="1" applyAlignment="1">
      <alignment horizontal="center"/>
    </xf>
    <xf numFmtId="0" fontId="5" fillId="8" borderId="0" xfId="23" applyFill="1"/>
    <xf numFmtId="0" fontId="9" fillId="8" borderId="0" xfId="23" applyFont="1" applyFill="1"/>
    <xf numFmtId="0" fontId="31" fillId="4" borderId="0" xfId="23" applyFont="1" applyFill="1"/>
    <xf numFmtId="0" fontId="17" fillId="3" borderId="5" xfId="23" applyFont="1" applyFill="1" applyBorder="1" applyAlignment="1">
      <alignment horizontal="center"/>
    </xf>
    <xf numFmtId="0" fontId="35" fillId="0" borderId="0" xfId="23" applyFont="1"/>
    <xf numFmtId="168" fontId="10" fillId="2" borderId="14" xfId="23" applyNumberFormat="1" applyFont="1" applyFill="1" applyBorder="1" applyAlignment="1">
      <alignment horizontal="right" vertical="center"/>
    </xf>
    <xf numFmtId="0" fontId="5" fillId="0" borderId="38" xfId="23" applyBorder="1" applyAlignment="1">
      <alignment horizontal="center"/>
    </xf>
    <xf numFmtId="0" fontId="5" fillId="0" borderId="34" xfId="23" applyBorder="1" applyAlignment="1">
      <alignment horizontal="center"/>
    </xf>
    <xf numFmtId="0" fontId="39" fillId="3" borderId="0" xfId="0" applyFont="1" applyFill="1"/>
    <xf numFmtId="14" fontId="9" fillId="3" borderId="0" xfId="23" applyNumberFormat="1" applyFont="1" applyFill="1"/>
    <xf numFmtId="14" fontId="5" fillId="0" borderId="1" xfId="23" applyNumberFormat="1" applyBorder="1" applyAlignment="1">
      <alignment horizontal="center"/>
    </xf>
    <xf numFmtId="177" fontId="9" fillId="3" borderId="0" xfId="23" applyNumberFormat="1" applyFont="1" applyFill="1"/>
    <xf numFmtId="0" fontId="40" fillId="4" borderId="0" xfId="0" applyFont="1" applyFill="1"/>
    <xf numFmtId="0" fontId="17" fillId="4" borderId="0" xfId="23" applyFont="1" applyFill="1" applyAlignment="1">
      <alignment horizontal="center"/>
    </xf>
    <xf numFmtId="14" fontId="5" fillId="0" borderId="22" xfId="23" applyNumberFormat="1" applyBorder="1" applyAlignment="1">
      <alignment horizontal="center"/>
    </xf>
    <xf numFmtId="2" fontId="5" fillId="0" borderId="22" xfId="23" applyNumberFormat="1" applyBorder="1"/>
    <xf numFmtId="167" fontId="5" fillId="0" borderId="22" xfId="23" applyNumberFormat="1" applyBorder="1"/>
    <xf numFmtId="0" fontId="35" fillId="4" borderId="0" xfId="23" applyFont="1" applyFill="1"/>
    <xf numFmtId="0" fontId="35" fillId="4" borderId="0" xfId="23" applyFont="1" applyFill="1" applyAlignment="1">
      <alignment horizontal="right"/>
    </xf>
    <xf numFmtId="0" fontId="0" fillId="0" borderId="0" xfId="0" applyProtection="1">
      <protection hidden="1"/>
    </xf>
    <xf numFmtId="179" fontId="42" fillId="3" borderId="4" xfId="47" applyNumberFormat="1" applyFont="1" applyFill="1" applyBorder="1" applyAlignment="1" applyProtection="1">
      <alignment vertical="center"/>
      <protection hidden="1"/>
    </xf>
    <xf numFmtId="179" fontId="42" fillId="3" borderId="50" xfId="47" applyNumberFormat="1" applyFont="1" applyFill="1" applyBorder="1" applyAlignment="1" applyProtection="1">
      <alignment vertical="center"/>
      <protection hidden="1"/>
    </xf>
    <xf numFmtId="10" fontId="0" fillId="0" borderId="0" xfId="24" applyNumberFormat="1" applyFont="1" applyProtection="1">
      <protection hidden="1"/>
    </xf>
    <xf numFmtId="172" fontId="0" fillId="0" borderId="0" xfId="47" applyNumberFormat="1" applyFont="1" applyProtection="1">
      <protection hidden="1"/>
    </xf>
    <xf numFmtId="179" fontId="0" fillId="0" borderId="34" xfId="47" applyNumberFormat="1" applyFont="1" applyBorder="1" applyProtection="1">
      <protection hidden="1"/>
    </xf>
    <xf numFmtId="179" fontId="0" fillId="0" borderId="38" xfId="47" applyNumberFormat="1" applyFont="1" applyBorder="1" applyProtection="1">
      <protection hidden="1"/>
    </xf>
    <xf numFmtId="179" fontId="0" fillId="0" borderId="46" xfId="47" applyNumberFormat="1" applyFont="1" applyBorder="1" applyProtection="1">
      <protection hidden="1"/>
    </xf>
    <xf numFmtId="0" fontId="0" fillId="6" borderId="45" xfId="0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vertical="center"/>
      <protection hidden="1"/>
    </xf>
    <xf numFmtId="0" fontId="0" fillId="6" borderId="39" xfId="0" applyFill="1" applyBorder="1" applyAlignment="1" applyProtection="1">
      <alignment horizontal="center" vertical="center"/>
      <protection hidden="1"/>
    </xf>
    <xf numFmtId="179" fontId="42" fillId="3" borderId="1" xfId="47" applyNumberFormat="1" applyFont="1" applyFill="1" applyBorder="1" applyAlignment="1" applyProtection="1">
      <alignment vertical="center"/>
      <protection hidden="1"/>
    </xf>
    <xf numFmtId="179" fontId="42" fillId="3" borderId="21" xfId="47" applyNumberFormat="1" applyFont="1" applyFill="1" applyBorder="1" applyAlignment="1" applyProtection="1">
      <alignment vertical="center"/>
      <protection hidden="1"/>
    </xf>
    <xf numFmtId="179" fontId="42" fillId="3" borderId="22" xfId="47" applyNumberFormat="1" applyFont="1" applyFill="1" applyBorder="1" applyAlignment="1" applyProtection="1">
      <alignment vertical="center"/>
      <protection hidden="1"/>
    </xf>
    <xf numFmtId="179" fontId="42" fillId="3" borderId="43" xfId="47" applyNumberFormat="1" applyFont="1" applyFill="1" applyBorder="1" applyAlignment="1" applyProtection="1">
      <alignment vertical="center"/>
      <protection hidden="1"/>
    </xf>
    <xf numFmtId="179" fontId="42" fillId="3" borderId="15" xfId="47" applyNumberFormat="1" applyFont="1" applyFill="1" applyBorder="1" applyAlignment="1" applyProtection="1">
      <alignment vertical="center"/>
      <protection hidden="1"/>
    </xf>
    <xf numFmtId="179" fontId="42" fillId="3" borderId="47" xfId="47" applyNumberFormat="1" applyFont="1" applyFill="1" applyBorder="1" applyAlignment="1" applyProtection="1">
      <alignment vertical="center"/>
      <protection hidden="1"/>
    </xf>
    <xf numFmtId="179" fontId="42" fillId="3" borderId="48" xfId="47" applyNumberFormat="1" applyFont="1" applyFill="1" applyBorder="1" applyAlignment="1" applyProtection="1">
      <alignment vertical="center"/>
      <protection hidden="1"/>
    </xf>
    <xf numFmtId="179" fontId="42" fillId="3" borderId="49" xfId="47" applyNumberFormat="1" applyFont="1" applyFill="1" applyBorder="1" applyAlignment="1" applyProtection="1">
      <alignment vertical="center"/>
      <protection hidden="1"/>
    </xf>
    <xf numFmtId="179" fontId="42" fillId="3" borderId="12" xfId="47" applyNumberFormat="1" applyFont="1" applyFill="1" applyBorder="1" applyAlignment="1" applyProtection="1">
      <alignment vertical="center"/>
      <protection hidden="1"/>
    </xf>
    <xf numFmtId="179" fontId="42" fillId="3" borderId="28" xfId="47" applyNumberFormat="1" applyFont="1" applyFill="1" applyBorder="1" applyAlignment="1" applyProtection="1">
      <alignment vertical="center"/>
      <protection hidden="1"/>
    </xf>
    <xf numFmtId="0" fontId="0" fillId="9" borderId="0" xfId="0" applyFill="1" applyProtection="1">
      <protection hidden="1"/>
    </xf>
    <xf numFmtId="0" fontId="0" fillId="6" borderId="20" xfId="0" applyFill="1" applyBorder="1" applyAlignment="1" applyProtection="1">
      <alignment horizontal="center" vertical="center"/>
      <protection hidden="1"/>
    </xf>
    <xf numFmtId="179" fontId="42" fillId="3" borderId="18" xfId="47" applyNumberFormat="1" applyFont="1" applyFill="1" applyBorder="1" applyAlignment="1" applyProtection="1">
      <alignment vertical="center"/>
      <protection hidden="1"/>
    </xf>
    <xf numFmtId="179" fontId="42" fillId="3" borderId="19" xfId="47" applyNumberFormat="1" applyFont="1" applyFill="1" applyBorder="1" applyAlignment="1" applyProtection="1">
      <alignment vertical="center"/>
      <protection hidden="1"/>
    </xf>
    <xf numFmtId="179" fontId="42" fillId="3" borderId="20" xfId="47" applyNumberFormat="1" applyFont="1" applyFill="1" applyBorder="1" applyAlignment="1" applyProtection="1">
      <alignment vertical="center"/>
      <protection hidden="1"/>
    </xf>
    <xf numFmtId="179" fontId="0" fillId="0" borderId="7" xfId="47" applyNumberFormat="1" applyFont="1" applyBorder="1" applyProtection="1">
      <protection hidden="1"/>
    </xf>
    <xf numFmtId="179" fontId="42" fillId="3" borderId="52" xfId="47" applyNumberFormat="1" applyFont="1" applyFill="1" applyBorder="1" applyAlignment="1" applyProtection="1">
      <alignment vertical="center"/>
      <protection hidden="1"/>
    </xf>
    <xf numFmtId="179" fontId="42" fillId="3" borderId="44" xfId="47" applyNumberFormat="1" applyFont="1" applyFill="1" applyBorder="1" applyAlignment="1" applyProtection="1">
      <alignment vertical="center"/>
      <protection hidden="1"/>
    </xf>
    <xf numFmtId="179" fontId="42" fillId="3" borderId="37" xfId="47" applyNumberFormat="1" applyFont="1" applyFill="1" applyBorder="1" applyAlignment="1" applyProtection="1">
      <alignment vertical="center"/>
      <protection hidden="1"/>
    </xf>
    <xf numFmtId="0" fontId="42" fillId="3" borderId="25" xfId="0" applyFont="1" applyFill="1" applyBorder="1" applyAlignment="1" applyProtection="1">
      <alignment vertical="center"/>
      <protection hidden="1"/>
    </xf>
    <xf numFmtId="0" fontId="42" fillId="3" borderId="24" xfId="0" applyFont="1" applyFill="1" applyBorder="1" applyAlignment="1" applyProtection="1">
      <alignment vertical="center"/>
      <protection hidden="1"/>
    </xf>
    <xf numFmtId="0" fontId="42" fillId="3" borderId="51" xfId="0" applyFont="1" applyFill="1" applyBorder="1" applyAlignment="1" applyProtection="1">
      <alignment vertical="center"/>
      <protection hidden="1"/>
    </xf>
    <xf numFmtId="0" fontId="42" fillId="3" borderId="7" xfId="0" applyFont="1" applyFill="1" applyBorder="1" applyAlignment="1" applyProtection="1">
      <alignment vertical="center"/>
      <protection hidden="1"/>
    </xf>
    <xf numFmtId="0" fontId="22" fillId="0" borderId="1" xfId="0" applyFont="1" applyBorder="1" applyProtection="1">
      <protection hidden="1"/>
    </xf>
    <xf numFmtId="0" fontId="22" fillId="9" borderId="1" xfId="0" applyFont="1" applyFill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0" borderId="1" xfId="0" applyBorder="1" applyProtection="1">
      <protection hidden="1"/>
    </xf>
    <xf numFmtId="0" fontId="0" fillId="9" borderId="1" xfId="0" applyFill="1" applyBorder="1" applyProtection="1">
      <protection locked="0" hidden="1"/>
    </xf>
    <xf numFmtId="0" fontId="40" fillId="0" borderId="0" xfId="0" applyFont="1" applyProtection="1">
      <protection hidden="1"/>
    </xf>
    <xf numFmtId="0" fontId="29" fillId="4" borderId="0" xfId="23" applyFont="1" applyFill="1"/>
    <xf numFmtId="1" fontId="31" fillId="4" borderId="0" xfId="23" applyNumberFormat="1" applyFont="1" applyFill="1" applyAlignment="1">
      <alignment vertical="top" wrapText="1"/>
    </xf>
    <xf numFmtId="165" fontId="31" fillId="4" borderId="0" xfId="23" applyNumberFormat="1" applyFont="1" applyFill="1"/>
    <xf numFmtId="180" fontId="5" fillId="0" borderId="1" xfId="23" applyNumberFormat="1" applyBorder="1"/>
    <xf numFmtId="14" fontId="43" fillId="3" borderId="0" xfId="23" applyNumberFormat="1" applyFont="1" applyFill="1" applyAlignment="1">
      <alignment horizontal="center"/>
    </xf>
    <xf numFmtId="165" fontId="17" fillId="5" borderId="35" xfId="23" applyNumberFormat="1" applyFont="1" applyFill="1" applyBorder="1" applyAlignment="1">
      <alignment horizontal="center" vertical="center" wrapText="1"/>
    </xf>
    <xf numFmtId="14" fontId="30" fillId="3" borderId="0" xfId="23" applyNumberFormat="1" applyFont="1" applyFill="1"/>
    <xf numFmtId="1" fontId="4" fillId="3" borderId="0" xfId="23" applyNumberFormat="1" applyFont="1" applyFill="1" applyAlignment="1">
      <alignment horizontal="center" vertical="center"/>
    </xf>
    <xf numFmtId="166" fontId="4" fillId="0" borderId="0" xfId="23" applyNumberFormat="1" applyFont="1" applyAlignment="1">
      <alignment horizontal="center"/>
    </xf>
    <xf numFmtId="10" fontId="17" fillId="0" borderId="0" xfId="23" applyNumberFormat="1" applyFont="1" applyAlignment="1">
      <alignment horizontal="center"/>
    </xf>
    <xf numFmtId="0" fontId="5" fillId="0" borderId="46" xfId="23" applyBorder="1" applyAlignment="1">
      <alignment horizontal="center"/>
    </xf>
    <xf numFmtId="14" fontId="5" fillId="0" borderId="19" xfId="23" applyNumberFormat="1" applyBorder="1" applyAlignment="1">
      <alignment horizontal="center"/>
    </xf>
    <xf numFmtId="2" fontId="5" fillId="0" borderId="22" xfId="23" applyNumberFormat="1" applyBorder="1" applyAlignment="1">
      <alignment horizontal="center"/>
    </xf>
    <xf numFmtId="167" fontId="5" fillId="0" borderId="22" xfId="23" applyNumberFormat="1" applyBorder="1" applyAlignment="1">
      <alignment horizontal="center"/>
    </xf>
    <xf numFmtId="2" fontId="5" fillId="0" borderId="1" xfId="23" applyNumberFormat="1" applyBorder="1" applyAlignment="1">
      <alignment horizontal="center"/>
    </xf>
    <xf numFmtId="167" fontId="5" fillId="0" borderId="1" xfId="23" applyNumberFormat="1" applyBorder="1" applyAlignment="1">
      <alignment horizontal="center"/>
    </xf>
    <xf numFmtId="180" fontId="5" fillId="0" borderId="1" xfId="23" applyNumberFormat="1" applyBorder="1" applyAlignment="1">
      <alignment horizontal="center"/>
    </xf>
    <xf numFmtId="2" fontId="5" fillId="0" borderId="19" xfId="23" applyNumberFormat="1" applyBorder="1" applyAlignment="1">
      <alignment horizontal="center"/>
    </xf>
    <xf numFmtId="167" fontId="5" fillId="0" borderId="19" xfId="23" applyNumberFormat="1" applyBorder="1" applyAlignment="1">
      <alignment horizontal="center"/>
    </xf>
    <xf numFmtId="180" fontId="5" fillId="0" borderId="19" xfId="23" applyNumberFormat="1" applyBorder="1" applyAlignment="1">
      <alignment horizontal="center"/>
    </xf>
    <xf numFmtId="0" fontId="5" fillId="10" borderId="0" xfId="23" applyFill="1"/>
    <xf numFmtId="168" fontId="10" fillId="2" borderId="7" xfId="23" applyNumberFormat="1" applyFont="1" applyFill="1" applyBorder="1" applyAlignment="1">
      <alignment horizontal="center" vertical="center"/>
    </xf>
    <xf numFmtId="10" fontId="4" fillId="0" borderId="53" xfId="23" applyNumberFormat="1" applyFont="1" applyBorder="1"/>
    <xf numFmtId="10" fontId="4" fillId="0" borderId="0" xfId="23" applyNumberFormat="1" applyFont="1"/>
    <xf numFmtId="179" fontId="46" fillId="11" borderId="1" xfId="47" applyNumberFormat="1" applyFont="1" applyFill="1" applyBorder="1" applyAlignment="1" applyProtection="1">
      <alignment horizontal="center" vertical="top" wrapText="1"/>
      <protection locked="0"/>
    </xf>
    <xf numFmtId="168" fontId="10" fillId="2" borderId="8" xfId="23" applyNumberFormat="1" applyFont="1" applyFill="1" applyBorder="1" applyAlignment="1">
      <alignment horizontal="center" vertical="center"/>
    </xf>
    <xf numFmtId="2" fontId="5" fillId="0" borderId="21" xfId="23" applyNumberFormat="1" applyBorder="1" applyAlignment="1">
      <alignment horizontal="center"/>
    </xf>
    <xf numFmtId="2" fontId="5" fillId="0" borderId="15" xfId="23" applyNumberFormat="1" applyBorder="1" applyAlignment="1">
      <alignment horizontal="center"/>
    </xf>
    <xf numFmtId="2" fontId="5" fillId="0" borderId="54" xfId="23" applyNumberFormat="1" applyBorder="1" applyAlignment="1">
      <alignment horizontal="center"/>
    </xf>
    <xf numFmtId="167" fontId="5" fillId="0" borderId="48" xfId="23" applyNumberFormat="1" applyBorder="1" applyAlignment="1">
      <alignment horizontal="center"/>
    </xf>
    <xf numFmtId="14" fontId="5" fillId="0" borderId="55" xfId="23" applyNumberFormat="1" applyBorder="1" applyAlignment="1">
      <alignment horizontal="center"/>
    </xf>
    <xf numFmtId="14" fontId="5" fillId="0" borderId="2" xfId="23" applyNumberFormat="1" applyBorder="1" applyAlignment="1">
      <alignment horizontal="center"/>
    </xf>
    <xf numFmtId="14" fontId="5" fillId="0" borderId="11" xfId="23" applyNumberFormat="1" applyBorder="1" applyAlignment="1">
      <alignment horizontal="center"/>
    </xf>
    <xf numFmtId="0" fontId="5" fillId="0" borderId="25" xfId="23" applyBorder="1" applyAlignment="1">
      <alignment horizontal="center"/>
    </xf>
    <xf numFmtId="0" fontId="5" fillId="0" borderId="24" xfId="23" applyBorder="1" applyAlignment="1">
      <alignment horizontal="center"/>
    </xf>
    <xf numFmtId="0" fontId="5" fillId="0" borderId="56" xfId="23" applyBorder="1" applyAlignment="1">
      <alignment horizontal="center"/>
    </xf>
    <xf numFmtId="0" fontId="0" fillId="9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 wrapText="1"/>
      <protection hidden="1"/>
    </xf>
    <xf numFmtId="0" fontId="14" fillId="0" borderId="37" xfId="0" applyFont="1" applyBorder="1" applyAlignment="1">
      <alignment vertical="center"/>
    </xf>
    <xf numFmtId="0" fontId="0" fillId="12" borderId="1" xfId="0" applyFill="1" applyBorder="1" applyProtection="1">
      <protection hidden="1"/>
    </xf>
    <xf numFmtId="10" fontId="0" fillId="12" borderId="1" xfId="24" applyNumberFormat="1" applyFont="1" applyFill="1" applyBorder="1" applyProtection="1">
      <protection hidden="1"/>
    </xf>
    <xf numFmtId="4" fontId="3" fillId="12" borderId="1" xfId="2" applyNumberFormat="1" applyFill="1" applyBorder="1" applyAlignment="1" applyProtection="1">
      <alignment horizontal="center"/>
      <protection hidden="1"/>
    </xf>
    <xf numFmtId="175" fontId="3" fillId="12" borderId="1" xfId="49" applyNumberFormat="1" applyFont="1" applyFill="1" applyBorder="1" applyAlignment="1">
      <alignment horizontal="center"/>
    </xf>
    <xf numFmtId="176" fontId="3" fillId="12" borderId="1" xfId="24" applyNumberFormat="1" applyFont="1" applyFill="1" applyBorder="1" applyAlignment="1" applyProtection="1">
      <alignment horizontal="right"/>
      <protection hidden="1"/>
    </xf>
    <xf numFmtId="0" fontId="0" fillId="6" borderId="29" xfId="0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vertical="center"/>
      <protection hidden="1"/>
    </xf>
    <xf numFmtId="0" fontId="0" fillId="6" borderId="12" xfId="0" applyFill="1" applyBorder="1" applyAlignment="1" applyProtection="1">
      <alignment horizontal="center" vertical="center"/>
      <protection hidden="1"/>
    </xf>
    <xf numFmtId="0" fontId="0" fillId="6" borderId="22" xfId="0" applyFill="1" applyBorder="1" applyAlignment="1" applyProtection="1">
      <alignment horizontal="center" vertical="center"/>
      <protection hidden="1"/>
    </xf>
    <xf numFmtId="0" fontId="0" fillId="6" borderId="40" xfId="0" applyFill="1" applyBorder="1" applyAlignment="1" applyProtection="1">
      <alignment horizontal="center" vertical="center"/>
      <protection hidden="1"/>
    </xf>
    <xf numFmtId="0" fontId="0" fillId="6" borderId="43" xfId="0" applyFill="1" applyBorder="1" applyAlignment="1" applyProtection="1">
      <alignment horizontal="center" vertical="center"/>
      <protection hidden="1"/>
    </xf>
    <xf numFmtId="0" fontId="0" fillId="6" borderId="25" xfId="0" applyFill="1" applyBorder="1" applyAlignment="1" applyProtection="1">
      <alignment horizontal="center" vertical="center"/>
      <protection hidden="1"/>
    </xf>
    <xf numFmtId="0" fontId="0" fillId="6" borderId="51" xfId="0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41" fillId="6" borderId="35" xfId="0" applyFont="1" applyFill="1" applyBorder="1" applyAlignment="1" applyProtection="1">
      <alignment horizontal="center" vertical="center"/>
      <protection hidden="1"/>
    </xf>
    <xf numFmtId="0" fontId="41" fillId="6" borderId="36" xfId="0" applyFont="1" applyFill="1" applyBorder="1" applyAlignment="1" applyProtection="1">
      <alignment horizontal="center" vertical="center"/>
      <protection hidden="1"/>
    </xf>
    <xf numFmtId="0" fontId="41" fillId="6" borderId="37" xfId="0" applyFont="1" applyFill="1" applyBorder="1" applyAlignment="1" applyProtection="1">
      <alignment horizontal="center" vertical="center"/>
      <protection hidden="1"/>
    </xf>
    <xf numFmtId="0" fontId="0" fillId="6" borderId="29" xfId="0" applyFill="1" applyBorder="1" applyAlignment="1" applyProtection="1">
      <alignment horizontal="center" vertical="center" wrapText="1"/>
      <protection hidden="1"/>
    </xf>
    <xf numFmtId="0" fontId="0" fillId="6" borderId="8" xfId="0" applyFill="1" applyBorder="1" applyAlignment="1" applyProtection="1">
      <alignment horizontal="center" vertical="center" wrapText="1"/>
      <protection hidden="1"/>
    </xf>
    <xf numFmtId="0" fontId="27" fillId="2" borderId="17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17" fillId="5" borderId="9" xfId="23" applyFont="1" applyFill="1" applyBorder="1" applyAlignment="1" applyProtection="1">
      <alignment horizontal="center" vertical="center"/>
      <protection locked="0"/>
    </xf>
    <xf numFmtId="0" fontId="17" fillId="5" borderId="30" xfId="23" applyFont="1" applyFill="1" applyBorder="1" applyAlignment="1" applyProtection="1">
      <alignment horizontal="center" vertical="center"/>
      <protection locked="0"/>
    </xf>
    <xf numFmtId="10" fontId="38" fillId="4" borderId="0" xfId="23" applyNumberFormat="1" applyFont="1" applyFill="1" applyAlignment="1">
      <alignment horizontal="center" vertical="center" wrapText="1"/>
    </xf>
    <xf numFmtId="10" fontId="38" fillId="4" borderId="5" xfId="23" applyNumberFormat="1" applyFont="1" applyFill="1" applyBorder="1" applyAlignment="1">
      <alignment horizontal="center" vertical="center" wrapText="1"/>
    </xf>
    <xf numFmtId="10" fontId="23" fillId="5" borderId="31" xfId="23" applyNumberFormat="1" applyFont="1" applyFill="1" applyBorder="1" applyAlignment="1">
      <alignment horizontal="center" vertical="center"/>
    </xf>
    <xf numFmtId="10" fontId="23" fillId="5" borderId="32" xfId="23" applyNumberFormat="1" applyFont="1" applyFill="1" applyBorder="1" applyAlignment="1">
      <alignment horizontal="center" vertical="center"/>
    </xf>
    <xf numFmtId="0" fontId="15" fillId="6" borderId="35" xfId="0" applyFont="1" applyFill="1" applyBorder="1" applyAlignment="1">
      <alignment horizontal="center" vertical="center"/>
    </xf>
    <xf numFmtId="0" fontId="15" fillId="6" borderId="36" xfId="0" applyFont="1" applyFill="1" applyBorder="1" applyAlignment="1">
      <alignment horizontal="center" vertical="center"/>
    </xf>
    <xf numFmtId="0" fontId="15" fillId="6" borderId="37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left"/>
    </xf>
    <xf numFmtId="0" fontId="8" fillId="6" borderId="2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left"/>
    </xf>
    <xf numFmtId="0" fontId="8" fillId="2" borderId="17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4" fontId="17" fillId="0" borderId="17" xfId="23" applyNumberFormat="1" applyFont="1" applyBorder="1" applyAlignment="1">
      <alignment horizontal="center"/>
    </xf>
    <xf numFmtId="4" fontId="17" fillId="0" borderId="27" xfId="23" applyNumberFormat="1" applyFont="1" applyBorder="1" applyAlignment="1">
      <alignment horizontal="center"/>
    </xf>
    <xf numFmtId="0" fontId="8" fillId="0" borderId="16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14" fillId="5" borderId="35" xfId="0" applyFont="1" applyFill="1" applyBorder="1" applyAlignment="1">
      <alignment horizontal="center" vertical="center"/>
    </xf>
    <xf numFmtId="0" fontId="14" fillId="5" borderId="3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165" fontId="17" fillId="5" borderId="35" xfId="23" applyNumberFormat="1" applyFont="1" applyFill="1" applyBorder="1" applyAlignment="1">
      <alignment horizontal="center" vertical="center" wrapText="1"/>
    </xf>
    <xf numFmtId="165" fontId="17" fillId="5" borderId="37" xfId="23" applyNumberFormat="1" applyFont="1" applyFill="1" applyBorder="1" applyAlignment="1">
      <alignment horizontal="center" vertical="center" wrapText="1"/>
    </xf>
    <xf numFmtId="4" fontId="17" fillId="0" borderId="22" xfId="23" applyNumberFormat="1" applyFont="1" applyBorder="1" applyAlignment="1">
      <alignment horizontal="center"/>
    </xf>
    <xf numFmtId="4" fontId="17" fillId="0" borderId="43" xfId="23" applyNumberFormat="1" applyFont="1" applyBorder="1" applyAlignment="1">
      <alignment horizontal="center"/>
    </xf>
    <xf numFmtId="0" fontId="10" fillId="2" borderId="35" xfId="23" applyFont="1" applyFill="1" applyBorder="1" applyAlignment="1">
      <alignment horizontal="left" vertical="center"/>
    </xf>
    <xf numFmtId="0" fontId="10" fillId="2" borderId="42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right" vertical="center"/>
    </xf>
    <xf numFmtId="168" fontId="10" fillId="2" borderId="37" xfId="23" applyNumberFormat="1" applyFont="1" applyFill="1" applyBorder="1" applyAlignment="1">
      <alignment horizontal="right" vertical="center"/>
    </xf>
    <xf numFmtId="166" fontId="5" fillId="3" borderId="0" xfId="46" applyNumberFormat="1" applyFont="1" applyFill="1" applyAlignment="1" applyProtection="1">
      <alignment horizontal="left"/>
    </xf>
    <xf numFmtId="4" fontId="17" fillId="0" borderId="41" xfId="23" applyNumberFormat="1" applyFont="1" applyBorder="1" applyAlignment="1">
      <alignment horizontal="center"/>
    </xf>
    <xf numFmtId="4" fontId="17" fillId="0" borderId="28" xfId="23" applyNumberFormat="1" applyFont="1" applyBorder="1" applyAlignment="1">
      <alignment horizontal="center"/>
    </xf>
    <xf numFmtId="0" fontId="4" fillId="10" borderId="5" xfId="23" applyFont="1" applyFill="1" applyBorder="1" applyAlignment="1">
      <alignment horizontal="center"/>
    </xf>
    <xf numFmtId="0" fontId="48" fillId="10" borderId="35" xfId="0" applyFont="1" applyFill="1" applyBorder="1" applyAlignment="1">
      <alignment horizontal="left" vertical="center"/>
    </xf>
    <xf numFmtId="0" fontId="44" fillId="10" borderId="36" xfId="0" applyFont="1" applyFill="1" applyBorder="1" applyAlignment="1">
      <alignment horizontal="left" vertical="center"/>
    </xf>
    <xf numFmtId="0" fontId="44" fillId="10" borderId="44" xfId="0" applyFont="1" applyFill="1" applyBorder="1" applyAlignment="1">
      <alignment horizontal="left" vertical="center"/>
    </xf>
    <xf numFmtId="10" fontId="17" fillId="0" borderId="0" xfId="23" applyNumberFormat="1" applyFont="1" applyAlignment="1">
      <alignment horizontal="center"/>
    </xf>
    <xf numFmtId="4" fontId="33" fillId="3" borderId="10" xfId="23" applyNumberFormat="1" applyFont="1" applyFill="1" applyBorder="1" applyAlignment="1">
      <alignment horizontal="center"/>
    </xf>
    <xf numFmtId="4" fontId="33" fillId="3" borderId="30" xfId="23" applyNumberFormat="1" applyFont="1" applyFill="1" applyBorder="1" applyAlignment="1">
      <alignment horizontal="center"/>
    </xf>
    <xf numFmtId="0" fontId="9" fillId="0" borderId="53" xfId="23" applyFont="1" applyBorder="1" applyAlignment="1">
      <alignment horizontal="center"/>
    </xf>
    <xf numFmtId="0" fontId="9" fillId="0" borderId="0" xfId="23" applyFont="1" applyAlignment="1">
      <alignment horizontal="center"/>
    </xf>
    <xf numFmtId="171" fontId="17" fillId="0" borderId="0" xfId="23" applyNumberFormat="1" applyFont="1" applyAlignment="1">
      <alignment horizontal="center"/>
    </xf>
    <xf numFmtId="4" fontId="17" fillId="0" borderId="1" xfId="23" applyNumberFormat="1" applyFont="1" applyBorder="1" applyAlignment="1">
      <alignment horizontal="center"/>
    </xf>
    <xf numFmtId="0" fontId="10" fillId="2" borderId="37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center" vertical="center"/>
    </xf>
    <xf numFmtId="168" fontId="10" fillId="2" borderId="37" xfId="23" applyNumberFormat="1" applyFont="1" applyFill="1" applyBorder="1" applyAlignment="1">
      <alignment horizontal="center" vertical="center"/>
    </xf>
    <xf numFmtId="4" fontId="17" fillId="0" borderId="19" xfId="23" applyNumberFormat="1" applyFont="1" applyBorder="1" applyAlignment="1">
      <alignment horizontal="center"/>
    </xf>
    <xf numFmtId="4" fontId="17" fillId="0" borderId="47" xfId="23" applyNumberFormat="1" applyFont="1" applyBorder="1" applyAlignment="1">
      <alignment horizontal="center"/>
    </xf>
    <xf numFmtId="168" fontId="10" fillId="2" borderId="31" xfId="23" applyNumberFormat="1" applyFont="1" applyFill="1" applyBorder="1" applyAlignment="1">
      <alignment horizontal="center" vertical="center"/>
    </xf>
    <xf numFmtId="168" fontId="10" fillId="2" borderId="32" xfId="23" applyNumberFormat="1" applyFont="1" applyFill="1" applyBorder="1" applyAlignment="1">
      <alignment horizontal="center" vertical="center"/>
    </xf>
    <xf numFmtId="4" fontId="17" fillId="0" borderId="48" xfId="23" applyNumberFormat="1" applyFont="1" applyBorder="1" applyAlignment="1">
      <alignment horizontal="center"/>
    </xf>
    <xf numFmtId="4" fontId="17" fillId="0" borderId="49" xfId="23" applyNumberFormat="1" applyFont="1" applyBorder="1" applyAlignment="1">
      <alignment horizontal="center"/>
    </xf>
    <xf numFmtId="166" fontId="5" fillId="0" borderId="0" xfId="46" applyNumberFormat="1" applyFont="1" applyFill="1" applyAlignment="1" applyProtection="1">
      <alignment horizontal="left"/>
    </xf>
    <xf numFmtId="165" fontId="17" fillId="0" borderId="35" xfId="23" applyNumberFormat="1" applyFont="1" applyBorder="1" applyAlignment="1">
      <alignment horizontal="center" vertical="center" wrapText="1"/>
    </xf>
    <xf numFmtId="165" fontId="17" fillId="0" borderId="37" xfId="23" applyNumberFormat="1" applyFont="1" applyBorder="1" applyAlignment="1">
      <alignment horizontal="center" vertical="center" wrapText="1"/>
    </xf>
    <xf numFmtId="165" fontId="17" fillId="0" borderId="34" xfId="23" applyNumberFormat="1" applyFont="1" applyBorder="1" applyAlignment="1">
      <alignment horizontal="center" vertical="center" wrapText="1"/>
    </xf>
    <xf numFmtId="165" fontId="17" fillId="0" borderId="26" xfId="23" applyNumberFormat="1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27" fillId="0" borderId="17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/>
    </xf>
    <xf numFmtId="0" fontId="15" fillId="0" borderId="36" xfId="0" applyFont="1" applyBorder="1" applyAlignment="1">
      <alignment horizontal="left" vertical="center"/>
    </xf>
    <xf numFmtId="0" fontId="15" fillId="0" borderId="37" xfId="0" applyFont="1" applyBorder="1" applyAlignment="1">
      <alignment horizontal="left" vertical="center"/>
    </xf>
  </cellXfs>
  <cellStyles count="75">
    <cellStyle name="Відсотковий" xfId="24" builtinId="5"/>
    <cellStyle name="Денежный 2" xfId="50" xr:uid="{00000000-0005-0000-0000-000000000000}"/>
    <cellStyle name="Звичайний" xfId="0" builtinId="0"/>
    <cellStyle name="Обычный 17" xfId="1" xr:uid="{00000000-0005-0000-0000-000002000000}"/>
    <cellStyle name="Обычный 17 2" xfId="52" xr:uid="{00000000-0005-0000-0000-000003000000}"/>
    <cellStyle name="Обычный 2" xfId="2" xr:uid="{00000000-0005-0000-0000-000004000000}"/>
    <cellStyle name="Обычный 2 10" xfId="3" xr:uid="{00000000-0005-0000-0000-000005000000}"/>
    <cellStyle name="Обычный 2 10 2" xfId="53" xr:uid="{00000000-0005-0000-0000-000006000000}"/>
    <cellStyle name="Обычный 2 11" xfId="4" xr:uid="{00000000-0005-0000-0000-000007000000}"/>
    <cellStyle name="Обычный 2 11 2" xfId="54" xr:uid="{00000000-0005-0000-0000-000008000000}"/>
    <cellStyle name="Обычный 2 12" xfId="5" xr:uid="{00000000-0005-0000-0000-000009000000}"/>
    <cellStyle name="Обычный 2 12 2" xfId="55" xr:uid="{00000000-0005-0000-0000-00000A000000}"/>
    <cellStyle name="Обычный 2 13" xfId="6" xr:uid="{00000000-0005-0000-0000-00000B000000}"/>
    <cellStyle name="Обычный 2 13 2" xfId="56" xr:uid="{00000000-0005-0000-0000-00000C000000}"/>
    <cellStyle name="Обычный 2 14" xfId="7" xr:uid="{00000000-0005-0000-0000-00000D000000}"/>
    <cellStyle name="Обычный 2 14 2" xfId="57" xr:uid="{00000000-0005-0000-0000-00000E000000}"/>
    <cellStyle name="Обычный 2 15" xfId="8" xr:uid="{00000000-0005-0000-0000-00000F000000}"/>
    <cellStyle name="Обычный 2 15 2" xfId="58" xr:uid="{00000000-0005-0000-0000-000010000000}"/>
    <cellStyle name="Обычный 2 16" xfId="9" xr:uid="{00000000-0005-0000-0000-000011000000}"/>
    <cellStyle name="Обычный 2 16 2" xfId="59" xr:uid="{00000000-0005-0000-0000-000012000000}"/>
    <cellStyle name="Обычный 2 17" xfId="10" xr:uid="{00000000-0005-0000-0000-000013000000}"/>
    <cellStyle name="Обычный 2 17 2" xfId="60" xr:uid="{00000000-0005-0000-0000-000014000000}"/>
    <cellStyle name="Обычный 2 18" xfId="11" xr:uid="{00000000-0005-0000-0000-000015000000}"/>
    <cellStyle name="Обычный 2 18 2" xfId="61" xr:uid="{00000000-0005-0000-0000-000016000000}"/>
    <cellStyle name="Обычный 2 19" xfId="12" xr:uid="{00000000-0005-0000-0000-000017000000}"/>
    <cellStyle name="Обычный 2 19 2" xfId="62" xr:uid="{00000000-0005-0000-0000-000018000000}"/>
    <cellStyle name="Обычный 2 2" xfId="13" xr:uid="{00000000-0005-0000-0000-000019000000}"/>
    <cellStyle name="Обычный 2 2 2" xfId="63" xr:uid="{00000000-0005-0000-0000-00001A000000}"/>
    <cellStyle name="Обычный 2 20" xfId="14" xr:uid="{00000000-0005-0000-0000-00001B000000}"/>
    <cellStyle name="Обычный 2 20 2" xfId="64" xr:uid="{00000000-0005-0000-0000-00001C000000}"/>
    <cellStyle name="Обычный 2 21" xfId="15" xr:uid="{00000000-0005-0000-0000-00001D000000}"/>
    <cellStyle name="Обычный 2 21 2" xfId="65" xr:uid="{00000000-0005-0000-0000-00001E000000}"/>
    <cellStyle name="Обычный 2 3" xfId="16" xr:uid="{00000000-0005-0000-0000-00001F000000}"/>
    <cellStyle name="Обычный 2 3 2" xfId="66" xr:uid="{00000000-0005-0000-0000-000020000000}"/>
    <cellStyle name="Обычный 2 4" xfId="17" xr:uid="{00000000-0005-0000-0000-000021000000}"/>
    <cellStyle name="Обычный 2 4 2" xfId="67" xr:uid="{00000000-0005-0000-0000-000022000000}"/>
    <cellStyle name="Обычный 2 5" xfId="18" xr:uid="{00000000-0005-0000-0000-000023000000}"/>
    <cellStyle name="Обычный 2 5 2" xfId="68" xr:uid="{00000000-0005-0000-0000-000024000000}"/>
    <cellStyle name="Обычный 2 6" xfId="19" xr:uid="{00000000-0005-0000-0000-000025000000}"/>
    <cellStyle name="Обычный 2 6 2" xfId="69" xr:uid="{00000000-0005-0000-0000-000026000000}"/>
    <cellStyle name="Обычный 2 7" xfId="20" xr:uid="{00000000-0005-0000-0000-000027000000}"/>
    <cellStyle name="Обычный 2 7 2" xfId="70" xr:uid="{00000000-0005-0000-0000-000028000000}"/>
    <cellStyle name="Обычный 2 8" xfId="21" xr:uid="{00000000-0005-0000-0000-000029000000}"/>
    <cellStyle name="Обычный 2 8 2" xfId="71" xr:uid="{00000000-0005-0000-0000-00002A000000}"/>
    <cellStyle name="Обычный 2 9" xfId="22" xr:uid="{00000000-0005-0000-0000-00002B000000}"/>
    <cellStyle name="Обычный 2 9 2" xfId="72" xr:uid="{00000000-0005-0000-0000-00002C000000}"/>
    <cellStyle name="Обычный 3" xfId="51" xr:uid="{00000000-0005-0000-0000-00002D000000}"/>
    <cellStyle name="Обычный 3 2" xfId="74" xr:uid="{00000000-0005-0000-0000-00002E000000}"/>
    <cellStyle name="Обычный_Nedootrumani_dohodu" xfId="23" xr:uid="{00000000-0005-0000-0000-00002F000000}"/>
    <cellStyle name="Процентный 2" xfId="25" xr:uid="{00000000-0005-0000-0000-000031000000}"/>
    <cellStyle name="Процентный 2 10" xfId="26" xr:uid="{00000000-0005-0000-0000-000032000000}"/>
    <cellStyle name="Процентный 2 11" xfId="27" xr:uid="{00000000-0005-0000-0000-000033000000}"/>
    <cellStyle name="Процентный 2 12" xfId="28" xr:uid="{00000000-0005-0000-0000-000034000000}"/>
    <cellStyle name="Процентный 2 13" xfId="29" xr:uid="{00000000-0005-0000-0000-000035000000}"/>
    <cellStyle name="Процентный 2 14" xfId="30" xr:uid="{00000000-0005-0000-0000-000036000000}"/>
    <cellStyle name="Процентный 2 15" xfId="31" xr:uid="{00000000-0005-0000-0000-000037000000}"/>
    <cellStyle name="Процентный 2 16" xfId="32" xr:uid="{00000000-0005-0000-0000-000038000000}"/>
    <cellStyle name="Процентный 2 17" xfId="33" xr:uid="{00000000-0005-0000-0000-000039000000}"/>
    <cellStyle name="Процентный 2 18" xfId="34" xr:uid="{00000000-0005-0000-0000-00003A000000}"/>
    <cellStyle name="Процентный 2 19" xfId="35" xr:uid="{00000000-0005-0000-0000-00003B000000}"/>
    <cellStyle name="Процентный 2 2" xfId="36" xr:uid="{00000000-0005-0000-0000-00003C000000}"/>
    <cellStyle name="Процентный 2 20" xfId="37" xr:uid="{00000000-0005-0000-0000-00003D000000}"/>
    <cellStyle name="Процентный 2 21" xfId="38" xr:uid="{00000000-0005-0000-0000-00003E000000}"/>
    <cellStyle name="Процентный 2 3" xfId="39" xr:uid="{00000000-0005-0000-0000-00003F000000}"/>
    <cellStyle name="Процентный 2 4" xfId="40" xr:uid="{00000000-0005-0000-0000-000040000000}"/>
    <cellStyle name="Процентный 2 5" xfId="41" xr:uid="{00000000-0005-0000-0000-000041000000}"/>
    <cellStyle name="Процентный 2 6" xfId="42" xr:uid="{00000000-0005-0000-0000-000042000000}"/>
    <cellStyle name="Процентный 2 7" xfId="43" xr:uid="{00000000-0005-0000-0000-000043000000}"/>
    <cellStyle name="Процентный 2 8" xfId="44" xr:uid="{00000000-0005-0000-0000-000044000000}"/>
    <cellStyle name="Процентный 2 9" xfId="45" xr:uid="{00000000-0005-0000-0000-000045000000}"/>
    <cellStyle name="Процентный 3" xfId="46" xr:uid="{00000000-0005-0000-0000-000046000000}"/>
    <cellStyle name="Процентный 3 2" xfId="49" xr:uid="{00000000-0005-0000-0000-000047000000}"/>
    <cellStyle name="Финансовый 2" xfId="48" xr:uid="{00000000-0005-0000-0000-000049000000}"/>
    <cellStyle name="Финансовый 2 2" xfId="73" xr:uid="{00000000-0005-0000-0000-00004A000000}"/>
    <cellStyle name="Фінансовий" xfId="4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050;&#1072;&#1083;&#1100;&#1082;&#1091;&#1083;&#1103;&#1090;&#1086;&#1088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://ideabank.com.ua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hyperlink" Target="http://ideabank.com.ua/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175933</xdr:colOff>
      <xdr:row>6</xdr:row>
      <xdr:rowOff>132791</xdr:rowOff>
    </xdr:from>
    <xdr:to>
      <xdr:col>20</xdr:col>
      <xdr:colOff>388938</xdr:colOff>
      <xdr:row>8</xdr:row>
      <xdr:rowOff>123265</xdr:rowOff>
    </xdr:to>
    <xdr:sp macro="" textlink="">
      <xdr:nvSpPr>
        <xdr:cNvPr id="2" name="Стрелка вправо с вырезом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384492" y="1365438"/>
          <a:ext cx="2028358" cy="304239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uk-UA" sz="1200" b="1" u="sng">
              <a:solidFill>
                <a:sysClr val="windowText" lastClr="000000"/>
              </a:solidFill>
            </a:rPr>
            <a:t>Натисніть, щоб перейти до калькулятора</a:t>
          </a:r>
          <a:endParaRPr lang="ru-RU" sz="1200" b="1" u="sng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</xdr:col>
      <xdr:colOff>755836</xdr:colOff>
      <xdr:row>0</xdr:row>
      <xdr:rowOff>45945</xdr:rowOff>
    </xdr:from>
    <xdr:to>
      <xdr:col>2</xdr:col>
      <xdr:colOff>248369</xdr:colOff>
      <xdr:row>2</xdr:row>
      <xdr:rowOff>97652</xdr:rowOff>
    </xdr:to>
    <xdr:pic>
      <xdr:nvPicPr>
        <xdr:cNvPr id="3" name="Picture 1" descr="IdeaB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60954" y="45945"/>
          <a:ext cx="2047474" cy="365472"/>
        </a:xfrm>
        <a:prstGeom prst="rect">
          <a:avLst/>
        </a:prstGeom>
        <a:solidFill>
          <a:srgbClr val="A6A6A6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4384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74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4385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2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526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3</xdr:col>
      <xdr:colOff>361950</xdr:colOff>
      <xdr:row>3</xdr:row>
      <xdr:rowOff>95250</xdr:rowOff>
    </xdr:to>
    <xdr:pic>
      <xdr:nvPicPr>
        <xdr:cNvPr id="3" name="Picture 1">
          <a:hlinkClick xmlns:r="http://schemas.openxmlformats.org/officeDocument/2006/relationships" r:id="rId1" tooltip="IdeaBank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8575" y="38100"/>
          <a:ext cx="17716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0</xdr:rowOff>
    </xdr:from>
    <xdr:to>
      <xdr:col>3</xdr:col>
      <xdr:colOff>428624</xdr:colOff>
      <xdr:row>3</xdr:row>
      <xdr:rowOff>95250</xdr:rowOff>
    </xdr:to>
    <xdr:pic>
      <xdr:nvPicPr>
        <xdr:cNvPr id="3" name="Picture 1">
          <a:hlinkClick xmlns:r="http://schemas.openxmlformats.org/officeDocument/2006/relationships" r:id="rId1" tooltip="IdeaBank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7624" y="0"/>
          <a:ext cx="18192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B3:Q21"/>
  <sheetViews>
    <sheetView view="pageBreakPreview" zoomScale="85" zoomScaleNormal="100" zoomScaleSheetLayoutView="85" workbookViewId="0">
      <selection activeCell="E9" sqref="E9"/>
    </sheetView>
  </sheetViews>
  <sheetFormatPr defaultColWidth="9.140625" defaultRowHeight="12.75" x14ac:dyDescent="0.2"/>
  <cols>
    <col min="1" max="1" width="9.140625" style="141"/>
    <col min="2" max="2" width="38.28515625" style="141" customWidth="1"/>
    <col min="3" max="3" width="23.7109375" style="141" bestFit="1" customWidth="1"/>
    <col min="4" max="4" width="10.42578125" style="141" hidden="1" customWidth="1"/>
    <col min="5" max="10" width="10.42578125" style="141" customWidth="1"/>
    <col min="11" max="16" width="10.42578125" style="141" hidden="1" customWidth="1"/>
    <col min="17" max="17" width="18.42578125" style="141" customWidth="1"/>
    <col min="18" max="16384" width="9.140625" style="141"/>
  </cols>
  <sheetData>
    <row r="3" spans="2:17" ht="13.5" thickBot="1" x14ac:dyDescent="0.25"/>
    <row r="4" spans="2:17" ht="18.95" customHeight="1" thickBot="1" x14ac:dyDescent="0.25">
      <c r="B4" s="236" t="s">
        <v>49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8"/>
    </row>
    <row r="5" spans="2:17" ht="20.25" customHeight="1" x14ac:dyDescent="0.2">
      <c r="B5" s="239" t="s">
        <v>50</v>
      </c>
      <c r="C5" s="225" t="s">
        <v>42</v>
      </c>
      <c r="D5" s="227" t="s">
        <v>41</v>
      </c>
      <c r="E5" s="228"/>
      <c r="F5" s="228"/>
      <c r="G5" s="228"/>
      <c r="H5" s="228"/>
      <c r="I5" s="228"/>
      <c r="J5" s="228"/>
      <c r="K5" s="229"/>
      <c r="L5" s="229"/>
      <c r="M5" s="229"/>
      <c r="N5" s="229"/>
      <c r="O5" s="229"/>
      <c r="P5" s="230"/>
      <c r="Q5" s="231" t="s">
        <v>45</v>
      </c>
    </row>
    <row r="6" spans="2:17" ht="20.25" customHeight="1" thickBot="1" x14ac:dyDescent="0.25">
      <c r="B6" s="240"/>
      <c r="C6" s="226"/>
      <c r="D6" s="149" t="s">
        <v>44</v>
      </c>
      <c r="E6" s="150" t="s">
        <v>43</v>
      </c>
      <c r="F6" s="150" t="s">
        <v>40</v>
      </c>
      <c r="G6" s="150" t="s">
        <v>46</v>
      </c>
      <c r="H6" s="150" t="s">
        <v>47</v>
      </c>
      <c r="I6" s="150" t="s">
        <v>1</v>
      </c>
      <c r="J6" s="150" t="s">
        <v>0</v>
      </c>
      <c r="K6" s="151" t="s">
        <v>48</v>
      </c>
      <c r="L6" s="151" t="s">
        <v>51</v>
      </c>
      <c r="M6" s="151" t="s">
        <v>52</v>
      </c>
      <c r="N6" s="151" t="s">
        <v>53</v>
      </c>
      <c r="O6" s="151" t="s">
        <v>54</v>
      </c>
      <c r="P6" s="163" t="s">
        <v>55</v>
      </c>
      <c r="Q6" s="232"/>
    </row>
    <row r="7" spans="2:17" x14ac:dyDescent="0.2">
      <c r="B7" s="146"/>
      <c r="C7" s="171" t="s">
        <v>65</v>
      </c>
      <c r="D7" s="153">
        <f>IFERROR(VLOOKUP(CONCATENATE($C7,", ",D$6),#REF!,26,0),0)</f>
        <v>0</v>
      </c>
      <c r="E7" s="154">
        <f>IFERROR(VLOOKUP(CONCATENATE($C7,", ",E$6),#REF!,26,0),0)</f>
        <v>0</v>
      </c>
      <c r="F7" s="154">
        <f>IFERROR(VLOOKUP(CONCATENATE($C7,", ",F$6),#REF!,26,0),0)</f>
        <v>0</v>
      </c>
      <c r="G7" s="154">
        <f>IFERROR(VLOOKUP(CONCATENATE($C7,", ",G$6),#REF!,26,0),0)</f>
        <v>0</v>
      </c>
      <c r="H7" s="154">
        <f>IFERROR(VLOOKUP(CONCATENATE($C7,", ",H$6),#REF!,26,0),0)</f>
        <v>0</v>
      </c>
      <c r="I7" s="154">
        <f>IFERROR(VLOOKUP(CONCATENATE($C7,", ",I$6),#REF!,26,0),0)</f>
        <v>0</v>
      </c>
      <c r="J7" s="155">
        <f>IFERROR(VLOOKUP(CONCATENATE($C7,", ",J$6),#REF!,26,0),0)</f>
        <v>0</v>
      </c>
      <c r="K7" s="160">
        <f>IFERROR(VLOOKUP(CONCATENATE($C7,", ",K$6),#REF!,26,0),0)</f>
        <v>0</v>
      </c>
      <c r="L7" s="154">
        <f>IFERROR(VLOOKUP(CONCATENATE($C7,", ",L$6),#REF!,26,0),0)</f>
        <v>0</v>
      </c>
      <c r="M7" s="154">
        <f>IFERROR(VLOOKUP(CONCATENATE($C7,", ",M$6),#REF!,26,0),0)</f>
        <v>0</v>
      </c>
      <c r="N7" s="154">
        <f>IFERROR(VLOOKUP(CONCATENATE($C7,", ",N$6),#REF!,26,0),0)</f>
        <v>0</v>
      </c>
      <c r="O7" s="154">
        <f>IFERROR(VLOOKUP(CONCATENATE($C7,", ",O$6),#REF!,26,0),0)</f>
        <v>0</v>
      </c>
      <c r="P7" s="155">
        <f>IFERROR(VLOOKUP(CONCATENATE($C7,", ",P$6),#REF!,26,0),0)</f>
        <v>0</v>
      </c>
      <c r="Q7" s="233">
        <f>C15+C17+C18+E19+C20+E21</f>
        <v>8400</v>
      </c>
    </row>
    <row r="8" spans="2:17" x14ac:dyDescent="0.2">
      <c r="B8" s="147"/>
      <c r="C8" s="172" t="s">
        <v>64</v>
      </c>
      <c r="D8" s="156">
        <f>IFERROR(VLOOKUP(CONCATENATE($C8,", ",D$6),#REF!,26,0),0)</f>
        <v>0</v>
      </c>
      <c r="E8" s="152">
        <f>IFERROR(VLOOKUP(CONCATENATE($C8,", ",E$6),#REF!,26,0),0)</f>
        <v>0</v>
      </c>
      <c r="F8" s="152">
        <f>IFERROR(VLOOKUP(CONCATENATE($C8,", ",F$6),#REF!,26,0),0)</f>
        <v>0</v>
      </c>
      <c r="G8" s="152">
        <f>IFERROR(VLOOKUP(CONCATENATE($C8,", ",G$6),#REF!,26,0),0)</f>
        <v>0</v>
      </c>
      <c r="H8" s="152">
        <f>IFERROR(VLOOKUP(CONCATENATE($C8,", ",H$6),#REF!,26,0),0)</f>
        <v>0</v>
      </c>
      <c r="I8" s="152">
        <f>IFERROR(VLOOKUP(CONCATENATE($C8,", ",I$6),#REF!,26,0),0)</f>
        <v>0</v>
      </c>
      <c r="J8" s="157">
        <f>IFERROR(VLOOKUP(CONCATENATE($C8,", ",J$6),#REF!,26,0),0)</f>
        <v>0</v>
      </c>
      <c r="K8" s="142">
        <f>IFERROR(VLOOKUP(CONCATENATE($C8,", ",K$6),#REF!,26,0),0)</f>
        <v>0</v>
      </c>
      <c r="L8" s="152">
        <f>IFERROR(VLOOKUP(CONCATENATE($C8,", ",L$6),#REF!,26,0),0)</f>
        <v>0</v>
      </c>
      <c r="M8" s="152">
        <f>IFERROR(VLOOKUP(CONCATENATE($C8,", ",M$6),#REF!,26,0),0)</f>
        <v>0</v>
      </c>
      <c r="N8" s="152">
        <f>IFERROR(VLOOKUP(CONCATENATE($C8,", ",N$6),#REF!,26,0),0)</f>
        <v>0</v>
      </c>
      <c r="O8" s="152">
        <f>IFERROR(VLOOKUP(CONCATENATE($C8,", ",O$6),#REF!,26,0),0)</f>
        <v>0</v>
      </c>
      <c r="P8" s="157">
        <f>IFERROR(VLOOKUP(CONCATENATE($C8,", ",P$6),#REF!,26,0),0)</f>
        <v>0</v>
      </c>
      <c r="Q8" s="234"/>
    </row>
    <row r="9" spans="2:17" ht="13.5" thickBot="1" x14ac:dyDescent="0.25">
      <c r="B9" s="148" t="e">
        <f>VLOOKUP(C9,#REF!,4,0)</f>
        <v>#REF!</v>
      </c>
      <c r="C9" s="173" t="s">
        <v>56</v>
      </c>
      <c r="D9" s="164">
        <f>IFERROR(VLOOKUP(CONCATENATE($C9,", ",D$6),#REF!,26,0),0)</f>
        <v>0</v>
      </c>
      <c r="E9" s="165">
        <f>IFERROR(VLOOKUP(CONCATENATE($C9,", ",E$6),#REF!,26,0),0)</f>
        <v>0</v>
      </c>
      <c r="F9" s="165">
        <f>IFERROR(VLOOKUP(CONCATENATE($C9,", ",F$6),#REF!,26,0),0)</f>
        <v>0</v>
      </c>
      <c r="G9" s="165">
        <f>IFERROR(VLOOKUP(CONCATENATE($C9,", ",G$6),#REF!,26,0),0)</f>
        <v>0</v>
      </c>
      <c r="H9" s="165">
        <f>IFERROR(VLOOKUP(CONCATENATE($C9,", ",H$6),#REF!,26,0),0)</f>
        <v>0</v>
      </c>
      <c r="I9" s="165">
        <f>IFERROR(VLOOKUP(CONCATENATE($C9,", ",I$6),#REF!,26,0),0)</f>
        <v>0</v>
      </c>
      <c r="J9" s="166">
        <f>IFERROR(VLOOKUP(CONCATENATE($C9,", ",J$6),#REF!,26,0),0)</f>
        <v>0</v>
      </c>
      <c r="K9" s="143">
        <f>IFERROR(VLOOKUP(CONCATENATE($C9,", ",K$6),#REF!,26,0),0)</f>
        <v>0</v>
      </c>
      <c r="L9" s="158">
        <f>IFERROR(VLOOKUP(CONCATENATE($C9,", ",L$6),#REF!,26,0),0)</f>
        <v>0</v>
      </c>
      <c r="M9" s="158">
        <f>IFERROR(VLOOKUP(CONCATENATE($C9,", ",M$6),#REF!,26,0),0)</f>
        <v>0</v>
      </c>
      <c r="N9" s="158">
        <f>IFERROR(VLOOKUP(CONCATENATE($C9,", ",N$6),#REF!,26,0),0)</f>
        <v>0</v>
      </c>
      <c r="O9" s="158">
        <f>IFERROR(VLOOKUP(CONCATENATE($C9,", ",O$6),#REF!,26,0),0)</f>
        <v>0</v>
      </c>
      <c r="P9" s="159">
        <f>IFERROR(VLOOKUP(CONCATENATE($C9,", ",P$6),#REF!,26,0),0)</f>
        <v>0</v>
      </c>
      <c r="Q9" s="234"/>
    </row>
    <row r="10" spans="2:17" ht="13.5" thickBot="1" x14ac:dyDescent="0.25">
      <c r="B10" s="167" t="e">
        <f>VLOOKUP(C10,#REF!,4,0)</f>
        <v>#REF!</v>
      </c>
      <c r="C10" s="174"/>
      <c r="D10" s="168">
        <f>IFERROR(VLOOKUP(CONCATENATE($C10,", ",D$6),#REF!,26,0),0)</f>
        <v>0</v>
      </c>
      <c r="E10" s="169">
        <f>IFERROR(VLOOKUP(CONCATENATE($C10,", ",E$6),#REF!,26,0),0)</f>
        <v>0</v>
      </c>
      <c r="F10" s="169">
        <f>IFERROR(VLOOKUP(CONCATENATE($C10,", ",F$6),#REF!,26,0),0)</f>
        <v>0</v>
      </c>
      <c r="G10" s="169">
        <f>IFERROR(VLOOKUP(CONCATENATE($C10,", ",G$6),#REF!,26,0),0)</f>
        <v>0</v>
      </c>
      <c r="H10" s="169">
        <f>IFERROR(VLOOKUP(CONCATENATE($C10,", ",H$6),#REF!,26,0),0)</f>
        <v>0</v>
      </c>
      <c r="I10" s="169">
        <f>IFERROR(VLOOKUP(CONCATENATE($C10,", ",I$6),#REF!,26,0),0)</f>
        <v>0</v>
      </c>
      <c r="J10" s="170">
        <f>IFERROR(VLOOKUP(CONCATENATE($C10,", ",J$6),#REF!,26,0),0)</f>
        <v>0</v>
      </c>
      <c r="K10" s="143">
        <f>IFERROR(VLOOKUP(CONCATENATE($C10,", ",K$6),#REF!,26,0),0)</f>
        <v>0</v>
      </c>
      <c r="L10" s="143">
        <f>IFERROR(VLOOKUP(CONCATENATE($C10,", ",L$6),#REF!,26,0),0)</f>
        <v>0</v>
      </c>
      <c r="M10" s="143">
        <f>IFERROR(VLOOKUP(CONCATENATE($C10,", ",M$6),#REF!,26,0),0)</f>
        <v>0</v>
      </c>
      <c r="N10" s="143">
        <f>IFERROR(VLOOKUP(CONCATENATE($C10,", ",N$6),#REF!,26,0),0)</f>
        <v>0</v>
      </c>
      <c r="O10" s="143">
        <f>IFERROR(VLOOKUP(CONCATENATE($C10,", ",O$6),#REF!,26,0),0)</f>
        <v>0</v>
      </c>
      <c r="P10" s="161">
        <f>IFERROR(VLOOKUP(CONCATENATE($C10,", ",P$6),#REF!,26,0),0)</f>
        <v>0</v>
      </c>
      <c r="Q10" s="235"/>
    </row>
    <row r="15" spans="2:17" x14ac:dyDescent="0.2">
      <c r="B15" s="175" t="s">
        <v>57</v>
      </c>
      <c r="C15" s="176">
        <v>2000</v>
      </c>
      <c r="E15" s="180"/>
    </row>
    <row r="16" spans="2:17" x14ac:dyDescent="0.2">
      <c r="B16" s="175" t="s">
        <v>58</v>
      </c>
      <c r="C16" s="177"/>
      <c r="E16" s="180"/>
    </row>
    <row r="17" spans="2:5" x14ac:dyDescent="0.2">
      <c r="B17" s="178" t="s">
        <v>59</v>
      </c>
      <c r="C17" s="179">
        <v>1000</v>
      </c>
      <c r="E17" s="180"/>
    </row>
    <row r="18" spans="2:5" x14ac:dyDescent="0.2">
      <c r="B18" s="178" t="s">
        <v>60</v>
      </c>
      <c r="C18" s="179">
        <v>1000</v>
      </c>
      <c r="E18" s="180"/>
    </row>
    <row r="19" spans="2:5" x14ac:dyDescent="0.2">
      <c r="B19" s="178" t="s">
        <v>61</v>
      </c>
      <c r="C19" s="179">
        <v>2000</v>
      </c>
      <c r="E19" s="180">
        <f>C19*0.2</f>
        <v>400</v>
      </c>
    </row>
    <row r="20" spans="2:5" x14ac:dyDescent="0.2">
      <c r="B20" s="178" t="s">
        <v>62</v>
      </c>
      <c r="C20" s="179">
        <v>1000</v>
      </c>
      <c r="E20" s="180"/>
    </row>
    <row r="21" spans="2:5" x14ac:dyDescent="0.2">
      <c r="B21" s="178" t="s">
        <v>63</v>
      </c>
      <c r="C21" s="179">
        <v>5000</v>
      </c>
      <c r="E21" s="180">
        <f>IF(C21&gt;=3000,3000,C21)</f>
        <v>3000</v>
      </c>
    </row>
  </sheetData>
  <mergeCells count="6">
    <mergeCell ref="C5:C6"/>
    <mergeCell ref="D5:P5"/>
    <mergeCell ref="Q5:Q6"/>
    <mergeCell ref="Q7:Q10"/>
    <mergeCell ref="B4:Q4"/>
    <mergeCell ref="B5:B6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5"/>
  <dimension ref="A1:H35"/>
  <sheetViews>
    <sheetView zoomScale="70" zoomScaleNormal="70" workbookViewId="0">
      <selection activeCell="A20" sqref="A20"/>
    </sheetView>
  </sheetViews>
  <sheetFormatPr defaultRowHeight="12.75" x14ac:dyDescent="0.2"/>
  <cols>
    <col min="1" max="1" width="48" customWidth="1"/>
    <col min="3" max="3" width="21.140625" customWidth="1"/>
    <col min="4" max="4" width="22.28515625" customWidth="1"/>
    <col min="5" max="5" width="14.42578125" customWidth="1"/>
    <col min="7" max="7" width="10.42578125" customWidth="1"/>
  </cols>
  <sheetData>
    <row r="1" spans="1:8" ht="21" thickBot="1" x14ac:dyDescent="0.25">
      <c r="A1" s="308" t="s">
        <v>21</v>
      </c>
      <c r="B1" s="309"/>
      <c r="C1" s="309"/>
      <c r="D1" s="310"/>
      <c r="E1" s="80">
        <v>5000</v>
      </c>
      <c r="F1" s="81" t="s">
        <v>16</v>
      </c>
      <c r="G1" s="81" t="s">
        <v>15</v>
      </c>
    </row>
    <row r="2" spans="1:8" x14ac:dyDescent="0.2">
      <c r="A2" s="82"/>
      <c r="B2" s="4"/>
      <c r="C2" s="82"/>
      <c r="D2" s="4"/>
      <c r="E2" s="83"/>
      <c r="F2" s="84"/>
      <c r="G2" s="49"/>
      <c r="H2" s="4"/>
    </row>
    <row r="3" spans="1:8" x14ac:dyDescent="0.2">
      <c r="A3" s="303" t="s">
        <v>86</v>
      </c>
      <c r="B3" s="304"/>
      <c r="C3" s="304"/>
      <c r="D3" s="305"/>
      <c r="E3" s="7"/>
      <c r="F3" s="8"/>
      <c r="G3" s="7"/>
    </row>
    <row r="4" spans="1:8" x14ac:dyDescent="0.2">
      <c r="A4" s="58"/>
      <c r="B4" s="58"/>
      <c r="C4" s="58"/>
      <c r="D4" s="58"/>
      <c r="E4" s="86"/>
      <c r="F4" s="190"/>
      <c r="G4" s="86"/>
    </row>
    <row r="5" spans="1:8" x14ac:dyDescent="0.2">
      <c r="A5" s="303" t="s">
        <v>87</v>
      </c>
      <c r="B5" s="304"/>
      <c r="C5" s="304"/>
      <c r="D5" s="305"/>
      <c r="E5" s="7"/>
      <c r="F5" s="8"/>
      <c r="G5" s="7"/>
    </row>
    <row r="6" spans="1:8" x14ac:dyDescent="0.2">
      <c r="A6" s="82"/>
      <c r="B6" s="4"/>
      <c r="C6" s="82"/>
      <c r="D6" s="4"/>
      <c r="E6" s="86"/>
      <c r="F6" s="84"/>
      <c r="G6" s="49"/>
      <c r="H6" s="4"/>
    </row>
    <row r="7" spans="1:8" x14ac:dyDescent="0.2">
      <c r="A7" s="303" t="s">
        <v>71</v>
      </c>
      <c r="B7" s="304"/>
      <c r="C7" s="304"/>
      <c r="D7" s="305"/>
      <c r="E7" s="7"/>
      <c r="F7" s="8"/>
      <c r="G7" s="8"/>
    </row>
    <row r="8" spans="1:8" x14ac:dyDescent="0.2">
      <c r="A8" s="82"/>
      <c r="B8" s="4"/>
      <c r="C8" s="82"/>
      <c r="D8" s="4"/>
      <c r="E8" s="87"/>
      <c r="F8" s="84"/>
      <c r="G8" s="49"/>
      <c r="H8" s="4"/>
    </row>
    <row r="9" spans="1:8" x14ac:dyDescent="0.2">
      <c r="A9" s="303" t="s">
        <v>72</v>
      </c>
      <c r="B9" s="304"/>
      <c r="C9" s="304"/>
      <c r="D9" s="305"/>
      <c r="E9" s="7"/>
      <c r="F9" s="8"/>
      <c r="G9" s="8"/>
    </row>
    <row r="10" spans="1:8" x14ac:dyDescent="0.2">
      <c r="A10" s="82"/>
      <c r="B10" s="4"/>
      <c r="C10" s="82"/>
      <c r="D10" s="4"/>
      <c r="E10" s="86"/>
      <c r="F10" s="84"/>
      <c r="G10" s="49"/>
      <c r="H10" s="4"/>
    </row>
    <row r="11" spans="1:8" x14ac:dyDescent="0.2">
      <c r="A11" s="303" t="s">
        <v>85</v>
      </c>
      <c r="B11" s="304"/>
      <c r="C11" s="304"/>
      <c r="D11" s="305"/>
      <c r="E11" s="88"/>
      <c r="F11" s="8"/>
      <c r="G11" s="8"/>
    </row>
    <row r="12" spans="1:8" x14ac:dyDescent="0.2">
      <c r="A12" s="89"/>
      <c r="B12" s="12"/>
      <c r="C12" s="89"/>
      <c r="D12" s="90"/>
      <c r="E12" s="55"/>
      <c r="F12" s="84"/>
      <c r="G12" s="91"/>
      <c r="H12" s="12"/>
    </row>
    <row r="13" spans="1:8" x14ac:dyDescent="0.2">
      <c r="A13" s="89"/>
      <c r="B13" s="12"/>
      <c r="C13" s="89"/>
      <c r="D13" s="92"/>
      <c r="E13" s="55"/>
      <c r="F13" s="84"/>
      <c r="G13" s="91"/>
      <c r="H13" s="12"/>
    </row>
    <row r="14" spans="1:8" x14ac:dyDescent="0.2">
      <c r="A14" s="303" t="s">
        <v>84</v>
      </c>
      <c r="B14" s="304"/>
      <c r="C14" s="304"/>
      <c r="D14" s="305"/>
      <c r="E14" s="13"/>
      <c r="F14" s="13"/>
      <c r="G14" s="14"/>
      <c r="H14" s="12"/>
    </row>
    <row r="15" spans="1:8" x14ac:dyDescent="0.2">
      <c r="A15" s="58"/>
      <c r="B15" s="58"/>
      <c r="C15" s="58"/>
      <c r="D15" s="58"/>
      <c r="E15" s="93"/>
      <c r="F15" s="94"/>
      <c r="G15" s="95"/>
      <c r="H15" s="12"/>
    </row>
    <row r="16" spans="1:8" x14ac:dyDescent="0.2">
      <c r="A16" s="303" t="s">
        <v>78</v>
      </c>
      <c r="B16" s="304"/>
      <c r="C16" s="304"/>
      <c r="D16" s="305"/>
      <c r="E16" s="78"/>
      <c r="F16" s="79"/>
      <c r="G16" s="14"/>
      <c r="H16" s="12"/>
    </row>
    <row r="17" spans="1:8" x14ac:dyDescent="0.2">
      <c r="A17" s="85"/>
      <c r="B17" s="85"/>
      <c r="C17" s="85"/>
      <c r="D17" s="85"/>
      <c r="E17" s="96"/>
      <c r="F17" s="94"/>
      <c r="G17" s="95"/>
      <c r="H17" s="12"/>
    </row>
    <row r="18" spans="1:8" x14ac:dyDescent="0.2">
      <c r="A18" s="303" t="s">
        <v>83</v>
      </c>
      <c r="B18" s="304"/>
      <c r="C18" s="304"/>
      <c r="D18" s="305"/>
      <c r="E18" s="21"/>
      <c r="F18" s="8"/>
      <c r="G18" s="8"/>
      <c r="H18" s="12"/>
    </row>
    <row r="19" spans="1:8" x14ac:dyDescent="0.2">
      <c r="A19" s="58"/>
      <c r="B19" s="58"/>
      <c r="C19" s="58"/>
      <c r="D19" s="58"/>
      <c r="E19" s="189"/>
      <c r="F19" s="190"/>
      <c r="G19" s="190"/>
      <c r="H19" s="12"/>
    </row>
    <row r="20" spans="1:8" x14ac:dyDescent="0.2">
      <c r="A20" s="58" t="s">
        <v>89</v>
      </c>
      <c r="B20" s="58"/>
      <c r="C20" s="58"/>
      <c r="D20" s="58"/>
      <c r="E20" s="189"/>
      <c r="F20" s="190"/>
      <c r="G20" s="190"/>
      <c r="H20" s="12"/>
    </row>
    <row r="21" spans="1:8" x14ac:dyDescent="0.2">
      <c r="A21" s="58"/>
      <c r="B21" s="58"/>
      <c r="C21" s="58"/>
      <c r="D21" s="58"/>
      <c r="E21" s="86"/>
      <c r="F21" s="94"/>
      <c r="G21" s="95"/>
      <c r="H21" s="12"/>
    </row>
    <row r="22" spans="1:8" ht="33.75" x14ac:dyDescent="0.2">
      <c r="A22" s="306" t="s">
        <v>7</v>
      </c>
      <c r="B22" s="307"/>
      <c r="C22" s="97" t="s">
        <v>2</v>
      </c>
      <c r="D22" s="98" t="s">
        <v>34</v>
      </c>
      <c r="E22" s="99" t="s">
        <v>18</v>
      </c>
      <c r="F22" s="99" t="s">
        <v>17</v>
      </c>
      <c r="G22" s="99" t="s">
        <v>19</v>
      </c>
      <c r="H22" s="99" t="s">
        <v>33</v>
      </c>
    </row>
    <row r="23" spans="1:8" x14ac:dyDescent="0.2">
      <c r="A23" s="260" t="s">
        <v>24</v>
      </c>
      <c r="B23" s="261"/>
      <c r="C23" s="45">
        <f>IF(ISERROR(L18),"",L18)</f>
        <v>0</v>
      </c>
      <c r="D23" s="45">
        <f>IF(ISERROR(L14),"",L14)</f>
        <v>0</v>
      </c>
      <c r="E23" s="75">
        <f>IF(ISERROR(L16),"",L16)</f>
        <v>0</v>
      </c>
      <c r="F23" s="23" t="str">
        <f>IF(ISERROR(D23/#REF!),"",D23/#REF!)</f>
        <v/>
      </c>
      <c r="G23" s="24" t="str">
        <f>IF(ISERROR(D23/#REF!/F$3),"",D23/#REF!/F$3)</f>
        <v/>
      </c>
      <c r="H23" s="24" t="str">
        <f>IF(ISERROR(C23/F$3),"",C23/F$3)</f>
        <v/>
      </c>
    </row>
    <row r="24" spans="1:8" x14ac:dyDescent="0.2">
      <c r="A24" s="260" t="s">
        <v>8</v>
      </c>
      <c r="B24" s="261"/>
      <c r="C24" s="46">
        <f>IF(ISERROR(M18),"",M18)</f>
        <v>0</v>
      </c>
      <c r="D24" s="46">
        <f>IF(ISERROR(M14),"",M14)</f>
        <v>0</v>
      </c>
      <c r="E24" s="76">
        <f>IF(ISERROR(M16),"",M16)</f>
        <v>0</v>
      </c>
      <c r="F24" s="23" t="str">
        <f>IF(ISERROR(D24/#REF!),"",D24/#REF!)</f>
        <v/>
      </c>
      <c r="G24" s="24" t="str">
        <f>IF(ISERROR(D24/#REF!/F$3),"",D24/#REF!/F$3)</f>
        <v/>
      </c>
      <c r="H24" s="24" t="str">
        <f>IF(ISERROR(C24/F$3),"",C24/F$3)</f>
        <v/>
      </c>
    </row>
    <row r="25" spans="1:8" x14ac:dyDescent="0.2">
      <c r="A25" s="260" t="s">
        <v>22</v>
      </c>
      <c r="B25" s="261"/>
      <c r="C25" s="46">
        <f>IF(ISERROR(N18),"",N18)</f>
        <v>0</v>
      </c>
      <c r="D25" s="46">
        <f>IF(ISERROR(N14),"",N14)</f>
        <v>0</v>
      </c>
      <c r="E25" s="76">
        <f>IF(ISERROR(N16),"",N16)</f>
        <v>0</v>
      </c>
      <c r="F25" s="23" t="str">
        <f>IF(ISERROR(D25/#REF!),"",D25/#REF!)</f>
        <v/>
      </c>
      <c r="G25" s="24" t="str">
        <f>IF(ISERROR(D25/#REF!/F$3),"",D25/#REF!/F$3)</f>
        <v/>
      </c>
      <c r="H25" s="24" t="str">
        <f>IF(ISERROR(C25/F$3),"",C25/F$3)</f>
        <v/>
      </c>
    </row>
    <row r="26" spans="1:8" x14ac:dyDescent="0.2">
      <c r="A26" s="260" t="s">
        <v>23</v>
      </c>
      <c r="B26" s="261"/>
      <c r="C26" s="46">
        <f>IF(ISERROR(O18),"",O18)</f>
        <v>0</v>
      </c>
      <c r="D26" s="46">
        <f>IF(ISERROR(O14),"",O14)</f>
        <v>0</v>
      </c>
      <c r="E26" s="76">
        <f>IF(ISERROR(O16),"",O16)</f>
        <v>0</v>
      </c>
      <c r="F26" s="23" t="str">
        <f>IF(ISERROR(D26/#REF!),"",D26/#REF!)</f>
        <v/>
      </c>
      <c r="G26" s="24" t="str">
        <f>IF(ISERROR(D26/#REF!/F$3),"",D26/#REF!/F$3)</f>
        <v/>
      </c>
      <c r="H26" s="24" t="str">
        <f>IF(ISERROR(C26/F$3),"",C26/F$3)</f>
        <v/>
      </c>
    </row>
    <row r="27" spans="1:8" x14ac:dyDescent="0.2">
      <c r="A27" s="82"/>
      <c r="B27" s="58"/>
      <c r="C27" s="82"/>
      <c r="D27" s="100"/>
      <c r="E27" s="4"/>
      <c r="F27" s="49"/>
      <c r="G27" s="84"/>
      <c r="H27" s="4"/>
    </row>
    <row r="28" spans="1:8" ht="13.5" thickBot="1" x14ac:dyDescent="0.25">
      <c r="A28" s="101"/>
      <c r="B28" s="58"/>
      <c r="C28" s="101"/>
      <c r="D28" s="102"/>
      <c r="E28" s="103"/>
      <c r="F28" s="95"/>
      <c r="G28" s="94"/>
      <c r="H28" s="12"/>
    </row>
    <row r="29" spans="1:8" ht="18.75" thickBot="1" x14ac:dyDescent="0.25">
      <c r="A29" s="301" t="s">
        <v>77</v>
      </c>
      <c r="B29" s="302"/>
      <c r="C29" s="302"/>
      <c r="D29" s="302"/>
      <c r="E29" s="302"/>
      <c r="F29" s="302"/>
      <c r="G29" s="219"/>
    </row>
    <row r="30" spans="1:8" ht="45.75" thickBot="1" x14ac:dyDescent="0.25">
      <c r="A30" s="297" t="s">
        <v>4</v>
      </c>
      <c r="B30" s="298"/>
      <c r="C30" s="104" t="s">
        <v>75</v>
      </c>
      <c r="D30" s="104" t="s">
        <v>73</v>
      </c>
      <c r="E30" s="104" t="s">
        <v>74</v>
      </c>
      <c r="F30" s="299" t="s">
        <v>76</v>
      </c>
      <c r="G30" s="300"/>
    </row>
    <row r="31" spans="1:8" x14ac:dyDescent="0.2">
      <c r="A31" s="4"/>
      <c r="B31" s="4"/>
      <c r="C31" s="4"/>
      <c r="D31" s="4"/>
      <c r="E31" s="4"/>
      <c r="F31" s="49"/>
      <c r="G31" s="84"/>
    </row>
    <row r="32" spans="1:8" x14ac:dyDescent="0.2">
      <c r="A32" s="4" t="s">
        <v>5</v>
      </c>
      <c r="B32" s="105"/>
      <c r="C32" s="106"/>
      <c r="D32" s="296"/>
      <c r="E32" s="296"/>
      <c r="F32" s="296"/>
      <c r="G32" s="84"/>
    </row>
    <row r="33" spans="1:7" x14ac:dyDescent="0.2">
      <c r="A33" s="4" t="s">
        <v>6</v>
      </c>
      <c r="B33" s="107"/>
      <c r="C33" s="4"/>
      <c r="D33" s="40"/>
      <c r="E33" s="41"/>
      <c r="F33" s="108"/>
      <c r="G33" s="84"/>
    </row>
    <row r="35" spans="1:7" x14ac:dyDescent="0.2">
      <c r="A35" t="s">
        <v>35</v>
      </c>
      <c r="B35">
        <v>30.4</v>
      </c>
    </row>
  </sheetData>
  <sheetProtection selectLockedCells="1"/>
  <mergeCells count="18">
    <mergeCell ref="A14:D14"/>
    <mergeCell ref="A16:D16"/>
    <mergeCell ref="A18:D18"/>
    <mergeCell ref="A22:B22"/>
    <mergeCell ref="A1:D1"/>
    <mergeCell ref="A3:D3"/>
    <mergeCell ref="A7:D7"/>
    <mergeCell ref="A9:D9"/>
    <mergeCell ref="A11:D11"/>
    <mergeCell ref="A5:D5"/>
    <mergeCell ref="A23:B23"/>
    <mergeCell ref="A24:B24"/>
    <mergeCell ref="D32:F32"/>
    <mergeCell ref="A26:B26"/>
    <mergeCell ref="A30:B30"/>
    <mergeCell ref="F30:G30"/>
    <mergeCell ref="A25:B25"/>
    <mergeCell ref="A29:F2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"/>
  <sheetViews>
    <sheetView zoomScale="85" zoomScaleNormal="85" workbookViewId="0">
      <selection activeCell="H20" sqref="H20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5" width="9.140625" style="141"/>
    <col min="6" max="6" width="17.28515625" style="141" customWidth="1"/>
    <col min="7" max="7" width="16.85546875" style="141" customWidth="1"/>
    <col min="8" max="8" width="15.7109375" style="141" customWidth="1"/>
    <col min="9" max="11" width="9.140625" style="141" customWidth="1"/>
    <col min="12" max="14" width="17.42578125" style="141" customWidth="1"/>
    <col min="15" max="16384" width="9.140625" style="141"/>
  </cols>
  <sheetData>
    <row r="1" spans="1:15" ht="25.5" x14ac:dyDescent="0.2">
      <c r="B1" s="141" t="s">
        <v>25</v>
      </c>
      <c r="C1" s="141" t="s">
        <v>26</v>
      </c>
      <c r="D1" s="141" t="s">
        <v>27</v>
      </c>
      <c r="E1" s="218" t="s">
        <v>88</v>
      </c>
      <c r="F1" s="141" t="s">
        <v>28</v>
      </c>
      <c r="G1" s="141" t="s">
        <v>29</v>
      </c>
      <c r="K1" s="141" t="s">
        <v>20</v>
      </c>
      <c r="L1" s="141" t="s">
        <v>2</v>
      </c>
      <c r="M1" s="141" t="s">
        <v>38</v>
      </c>
      <c r="N1" s="141" t="s">
        <v>39</v>
      </c>
    </row>
    <row r="2" spans="1:15" x14ac:dyDescent="0.2">
      <c r="D2" s="144"/>
      <c r="E2" s="144"/>
      <c r="F2" s="144"/>
      <c r="G2" s="144"/>
      <c r="I2" s="141" t="s">
        <v>31</v>
      </c>
      <c r="J2" s="141" t="s">
        <v>30</v>
      </c>
      <c r="L2" s="145"/>
      <c r="M2" s="145"/>
      <c r="N2" s="145"/>
    </row>
    <row r="3" spans="1:15" x14ac:dyDescent="0.2">
      <c r="A3" s="141">
        <v>1</v>
      </c>
      <c r="B3" s="141">
        <v>2</v>
      </c>
      <c r="C3" s="141">
        <v>3</v>
      </c>
      <c r="D3" s="141">
        <v>4</v>
      </c>
      <c r="F3" s="141">
        <v>5</v>
      </c>
      <c r="G3" s="141">
        <v>6</v>
      </c>
      <c r="H3" s="141">
        <v>7</v>
      </c>
      <c r="I3" s="141">
        <v>8</v>
      </c>
      <c r="J3" s="141">
        <v>9</v>
      </c>
      <c r="K3" s="141">
        <v>10</v>
      </c>
      <c r="L3" s="141">
        <v>11</v>
      </c>
      <c r="M3" s="141">
        <v>12</v>
      </c>
      <c r="N3" s="141">
        <v>13</v>
      </c>
      <c r="O3" s="141">
        <v>14</v>
      </c>
    </row>
    <row r="4" spans="1:15" x14ac:dyDescent="0.2">
      <c r="A4" s="220" t="s">
        <v>90</v>
      </c>
      <c r="B4" s="220">
        <v>500000</v>
      </c>
      <c r="C4" s="220">
        <v>60</v>
      </c>
      <c r="D4" s="221">
        <v>0.89990000000000003</v>
      </c>
      <c r="E4" s="221">
        <v>0</v>
      </c>
      <c r="F4" s="221">
        <v>0</v>
      </c>
      <c r="G4" s="220" t="s">
        <v>94</v>
      </c>
      <c r="H4" s="220">
        <v>500000</v>
      </c>
      <c r="I4" s="220"/>
      <c r="J4" s="220">
        <v>1</v>
      </c>
      <c r="K4" s="222">
        <v>3738.9128907694981</v>
      </c>
      <c r="L4" s="223">
        <v>0</v>
      </c>
      <c r="M4" s="224">
        <v>0</v>
      </c>
      <c r="N4" s="220">
        <v>5000</v>
      </c>
    </row>
    <row r="5" spans="1:15" x14ac:dyDescent="0.2">
      <c r="A5" s="220" t="s">
        <v>91</v>
      </c>
      <c r="B5" s="220">
        <v>500000</v>
      </c>
      <c r="C5" s="220">
        <v>36</v>
      </c>
      <c r="D5" s="221">
        <v>0.79990000000000006</v>
      </c>
      <c r="E5" s="221">
        <v>0</v>
      </c>
      <c r="F5" s="221">
        <v>0</v>
      </c>
      <c r="G5" s="220" t="s">
        <v>94</v>
      </c>
      <c r="H5" s="220">
        <v>500000</v>
      </c>
      <c r="I5" s="220"/>
      <c r="J5" s="220">
        <v>1</v>
      </c>
      <c r="K5" s="222">
        <v>3738.9128907694981</v>
      </c>
      <c r="L5" s="223">
        <v>0</v>
      </c>
      <c r="M5" s="224">
        <v>0</v>
      </c>
      <c r="N5" s="220">
        <v>5000</v>
      </c>
    </row>
    <row r="6" spans="1:15" x14ac:dyDescent="0.2">
      <c r="A6" s="220" t="s">
        <v>92</v>
      </c>
      <c r="B6" s="220">
        <v>500000</v>
      </c>
      <c r="C6" s="220">
        <v>24</v>
      </c>
      <c r="D6" s="221">
        <v>0.74990000000000001</v>
      </c>
      <c r="E6" s="221">
        <v>0</v>
      </c>
      <c r="F6" s="221">
        <v>0</v>
      </c>
      <c r="G6" s="220" t="s">
        <v>94</v>
      </c>
      <c r="H6" s="220">
        <v>500000</v>
      </c>
      <c r="I6" s="220"/>
      <c r="J6" s="220">
        <v>1</v>
      </c>
      <c r="K6" s="222">
        <v>4234.5536931619117</v>
      </c>
      <c r="L6" s="223">
        <v>0</v>
      </c>
      <c r="M6" s="224">
        <v>0</v>
      </c>
      <c r="N6" s="220">
        <v>5000</v>
      </c>
    </row>
    <row r="7" spans="1:15" x14ac:dyDescent="0.2">
      <c r="A7" s="220" t="s">
        <v>93</v>
      </c>
      <c r="B7" s="220">
        <v>500000</v>
      </c>
      <c r="C7" s="220">
        <v>12</v>
      </c>
      <c r="D7" s="221">
        <v>0.64990000000000003</v>
      </c>
      <c r="E7" s="221">
        <v>0</v>
      </c>
      <c r="F7" s="221">
        <v>0</v>
      </c>
      <c r="G7" s="220" t="s">
        <v>94</v>
      </c>
      <c r="H7" s="220">
        <v>500000</v>
      </c>
      <c r="I7" s="220"/>
      <c r="J7" s="220">
        <v>1</v>
      </c>
      <c r="K7" s="222">
        <v>6185.8466183236624</v>
      </c>
      <c r="L7" s="223">
        <v>0</v>
      </c>
      <c r="M7" s="224">
        <v>0</v>
      </c>
      <c r="N7" s="220">
        <v>5000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E15" sqref="E15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VLOOKUP(Простий!H2,Лист2!A:O,14,FALSE)</f>
        <v>#N/A</v>
      </c>
      <c r="F2" s="126" t="e">
        <f>VLOOKUP(H$2,Лист2!$A:$H,2,0)</f>
        <v>#N/A</v>
      </c>
      <c r="G2" s="185">
        <f ca="1">TODAY()</f>
        <v>45918</v>
      </c>
      <c r="H2" s="243" t="s">
        <v>68</v>
      </c>
      <c r="I2" s="244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  <c r="K3" s="4" t="e">
        <f>VLOOKUP(H2,Лист2!A:K,10,0)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46"/>
      <c r="G4" s="125"/>
      <c r="H4" s="39"/>
      <c r="I4" s="50"/>
      <c r="J4" s="50"/>
      <c r="AA4" s="69"/>
    </row>
    <row r="5" spans="1:45" ht="21" thickBot="1" x14ac:dyDescent="0.25">
      <c r="A5" s="1"/>
      <c r="B5" s="249" t="str">
        <f>Назви!A1</f>
        <v>Cash out, грн.</v>
      </c>
      <c r="C5" s="250"/>
      <c r="D5" s="250"/>
      <c r="E5" s="251"/>
      <c r="F5" s="118">
        <v>1000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IF($F5&lt;=VLOOKUP(M$3,Лист2!$A:$G,2,0),$F5,0)</f>
        <v>#N/A</v>
      </c>
      <c r="N5" s="73" t="e">
        <f>IF($F5&lt;=VLOOKUP(N$3,Лист2!$A:$G,2,0),$F5,0)</f>
        <v>#N/A</v>
      </c>
      <c r="O5" s="73" t="e">
        <f>IF($F5&lt;=VLOOKUP(O$3,Лист2!$A:$G,2,0),$F5,0)</f>
        <v>#N/A</v>
      </c>
      <c r="P5" s="73" t="e">
        <f>IF($F5&lt;=VLOOKUP(P$3,Лист2!$A:$G,2,0),$F5,0)</f>
        <v>#N/A</v>
      </c>
      <c r="Q5" s="73" t="e">
        <f>IF($F5&lt;=VLOOKUP(Q$3,Лист2!$A:$G,2,0),$F5,0)</f>
        <v>#N/A</v>
      </c>
      <c r="R5" s="73" t="e">
        <f>IF($F5&lt;=VLOOKUP(R$3,Лист2!$A:$G,2,0),$F5,0)</f>
        <v>#N/A</v>
      </c>
      <c r="S5" s="73" t="e">
        <f>IF($F5&lt;=VLOOKUP(S$3,Лист2!$A:$G,2,0),$F5,0)</f>
        <v>#N/A</v>
      </c>
      <c r="T5" s="73" t="e">
        <f>IF($F5&lt;=VLOOKUP(T$3,Лист2!$A:$G,2,0),$F5,0)</f>
        <v>#N/A</v>
      </c>
      <c r="U5" s="73" t="e">
        <f>IF($F5&lt;=VLOOKUP(U$3,Лист2!$A:$G,2,0),$F5,0)</f>
        <v>#N/A</v>
      </c>
      <c r="V5" s="73" t="e">
        <f>IF($F5&lt;=VLOOKUP(V$3,Лист2!$A:$G,2,0),$F5,0)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2" t="str">
        <f>Назви!A3</f>
        <v>Процентна ставка базова, % річних</v>
      </c>
      <c r="C7" s="253">
        <f>Назви!B3</f>
        <v>0</v>
      </c>
      <c r="D7" s="253">
        <f>Назви!C3</f>
        <v>0</v>
      </c>
      <c r="E7" s="254">
        <f>Назви!D3</f>
        <v>0</v>
      </c>
      <c r="F7" s="38" t="e">
        <f>VLOOKUP(H$2,Лист2!$A:$H,4,0)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VLOOKUP(H$2,Лист2!$A:$G,4,0)</f>
        <v>#N/A</v>
      </c>
      <c r="N7" s="68" t="e">
        <f>VLOOKUP(N$3,Лист2!$A:$G,4,0)</f>
        <v>#N/A</v>
      </c>
      <c r="O7" s="68" t="e">
        <f>VLOOKUP(O$3,Лист2!$A:$G,4,0)</f>
        <v>#N/A</v>
      </c>
      <c r="P7" s="68" t="e">
        <f>VLOOKUP(P$3,Лист2!$A:$G,4,0)</f>
        <v>#N/A</v>
      </c>
      <c r="Q7" s="68" t="e">
        <f>VLOOKUP(Q$3,Лист2!$A:$G,4,0)</f>
        <v>#N/A</v>
      </c>
      <c r="R7" s="68" t="e">
        <f>VLOOKUP(R$3,Лист2!$A:$G,4,0)</f>
        <v>#N/A</v>
      </c>
      <c r="S7" s="68" t="e">
        <f>VLOOKUP(S$3,Лист2!$A:$G,4,0)</f>
        <v>#N/A</v>
      </c>
      <c r="T7" s="68" t="e">
        <f>VLOOKUP(T$3,Лист2!$A:$G,4,0)</f>
        <v>#N/A</v>
      </c>
      <c r="U7" s="68" t="e">
        <f>VLOOKUP(U$3,Лист2!$A:$G,4,0)</f>
        <v>#N/A</v>
      </c>
      <c r="V7" s="68" t="e">
        <f>VLOOKUP(V$3,Лист2!$A:$G,4,0)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2" t="str">
        <f>Назви!A7</f>
        <v>Разовий страховий тариф, %</v>
      </c>
      <c r="C9" s="253">
        <f>Назви!B7</f>
        <v>0</v>
      </c>
      <c r="D9" s="253">
        <f>Назви!C7</f>
        <v>0</v>
      </c>
      <c r="E9" s="254">
        <f>Назви!D7</f>
        <v>0</v>
      </c>
      <c r="F9" s="38" t="e">
        <f>VLOOKUP(H$2,Лист2!$A:$H,5,0)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VLOOKUP(H$2,Лист2!$A:$G,5,0)</f>
        <v>#N/A</v>
      </c>
      <c r="N9" s="68" t="e">
        <f>VLOOKUP(N$3,Лист2!$A:$G,5,0)</f>
        <v>#N/A</v>
      </c>
      <c r="O9" s="68" t="e">
        <f>VLOOKUP(O$3,Лист2!$A:$G,5,0)</f>
        <v>#N/A</v>
      </c>
      <c r="P9" s="68" t="e">
        <f>VLOOKUP(P$3,Лист2!$A:$G,5,0)</f>
        <v>#N/A</v>
      </c>
      <c r="Q9" s="68" t="e">
        <f>VLOOKUP(Q$3,Лист2!$A:$G,5,0)</f>
        <v>#N/A</v>
      </c>
      <c r="R9" s="68" t="e">
        <f>VLOOKUP(R$3,Лист2!$A:$G,5,0)</f>
        <v>#N/A</v>
      </c>
      <c r="S9" s="68" t="e">
        <f>VLOOKUP(S$3,Лист2!$A:$G,5,0)</f>
        <v>#N/A</v>
      </c>
      <c r="T9" s="68" t="e">
        <f>VLOOKUP(T$3,Лист2!$A:$G,5,0)</f>
        <v>#N/A</v>
      </c>
      <c r="U9" s="68" t="e">
        <f>VLOOKUP(U$3,Лист2!$A:$G,5,0)</f>
        <v>#N/A</v>
      </c>
      <c r="V9" s="68" t="e">
        <f>VLOOKUP(V$3,Лист2!$A:$G,5,0)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2" t="str">
        <f>Назви!A9</f>
        <v xml:space="preserve">Щомісячна плата за обслуговування кредитної заборгованості, % </v>
      </c>
      <c r="C11" s="253">
        <f>Назви!B9</f>
        <v>0</v>
      </c>
      <c r="D11" s="253">
        <f>Назви!C9</f>
        <v>0</v>
      </c>
      <c r="E11" s="254">
        <f>Назви!D9</f>
        <v>0</v>
      </c>
      <c r="F11" s="38" t="e">
        <f>VLOOKUP(H$2,Лист2!$A:$H,6,0)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VLOOKUP(H$2,Лист2!$A:$G,6,0)</f>
        <v>#N/A</v>
      </c>
      <c r="N11" s="68" t="e">
        <f>VLOOKUP(N$3,Лист2!$A:$G,6,0)</f>
        <v>#N/A</v>
      </c>
      <c r="O11" s="68" t="e">
        <f>VLOOKUP(O$3,Лист2!$A:$G,6,0)</f>
        <v>#N/A</v>
      </c>
      <c r="P11" s="68" t="e">
        <f>VLOOKUP(P$3,Лист2!$A:$G,6,0)</f>
        <v>#N/A</v>
      </c>
      <c r="Q11" s="68" t="e">
        <f>VLOOKUP(Q$3,Лист2!$A:$G,6,0)</f>
        <v>#N/A</v>
      </c>
      <c r="R11" s="68" t="e">
        <f>VLOOKUP(R$3,Лист2!$A:$G,6,0)</f>
        <v>#N/A</v>
      </c>
      <c r="S11" s="68" t="e">
        <f>VLOOKUP(S$3,Лист2!$A:$G,6,0)</f>
        <v>#N/A</v>
      </c>
      <c r="T11" s="68" t="e">
        <f>VLOOKUP(T$3,Лист2!$A:$G,6,0)</f>
        <v>#N/A</v>
      </c>
      <c r="U11" s="68" t="e">
        <f>VLOOKUP(U$3,Лист2!$A:$G,6,0)</f>
        <v>#N/A</v>
      </c>
      <c r="V11" s="68" t="e">
        <f>VLOOKUP(V$3,Лист2!$A:$G,6,0)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2" t="str">
        <f>Назви!A11</f>
        <v>Термін кредитування (міс.)</v>
      </c>
      <c r="C13" s="253">
        <f>Назви!B11</f>
        <v>0</v>
      </c>
      <c r="D13" s="253">
        <f>Назви!C11</f>
        <v>0</v>
      </c>
      <c r="E13" s="254">
        <f>Назви!D11</f>
        <v>0</v>
      </c>
      <c r="F13" s="64" t="e">
        <f>VLOOKUP(H$2,Лист2!$A:$H,3,0)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VLOOKUP(M$3,Лист2!$A:$G,3,0)</f>
        <v>#N/A</v>
      </c>
      <c r="N13" s="74" t="e">
        <f>VLOOKUP(N$3,Лист2!$A:$G,3,0)</f>
        <v>#N/A</v>
      </c>
      <c r="O13" s="74" t="e">
        <f>VLOOKUP(O$3,Лист2!$A:$G,3,0)</f>
        <v>#N/A</v>
      </c>
      <c r="P13" s="74" t="e">
        <f>VLOOKUP(P$3,Лист2!$A:$G,3,0)</f>
        <v>#N/A</v>
      </c>
      <c r="Q13" s="74" t="e">
        <f>VLOOKUP(Q$3,Лист2!$A:$G,3,0)</f>
        <v>#N/A</v>
      </c>
      <c r="R13" s="74" t="e">
        <f>VLOOKUP(R$3,Лист2!$A:$G,3,0)</f>
        <v>#N/A</v>
      </c>
      <c r="S13" s="74" t="e">
        <f>VLOOKUP(S$3,Лист2!$A:$G,3,0)</f>
        <v>#N/A</v>
      </c>
      <c r="T13" s="74" t="e">
        <f>VLOOKUP(T$3,Лист2!$A:$G,3,0)</f>
        <v>#N/A</v>
      </c>
      <c r="U13" s="74" t="e">
        <f>VLOOKUP(U$3,Лист2!$A:$G,3,0)</f>
        <v>#N/A</v>
      </c>
      <c r="V13" s="74" t="e">
        <f>VLOOKUP(V$3,Лист2!$A:$G,3,0)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55" t="str">
        <f>Назви!A14</f>
        <v>Орієнтовний платіж, грн.</v>
      </c>
      <c r="C16" s="256">
        <f>Назви!B14</f>
        <v>0</v>
      </c>
      <c r="D16" s="256">
        <f>Назви!C14</f>
        <v>0</v>
      </c>
      <c r="E16" s="257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55" t="str">
        <f>Назви!A16</f>
        <v>Орієнтовні загальні витрати за кредитом, грн.</v>
      </c>
      <c r="C18" s="256">
        <f>Назви!B16</f>
        <v>0</v>
      </c>
      <c r="D18" s="256">
        <f>Назви!C16</f>
        <v>0</v>
      </c>
      <c r="E18" s="257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55" t="str">
        <f>Назви!A18</f>
        <v>Орієнтовна загальна вартість кредиту, грн.</v>
      </c>
      <c r="C20" s="256">
        <f>Назви!B18</f>
        <v>0</v>
      </c>
      <c r="D20" s="256">
        <f>Назви!C18</f>
        <v>0</v>
      </c>
      <c r="E20" s="257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1" t="str">
        <f>Назви!A22</f>
        <v>Інший термін</v>
      </c>
      <c r="C22" s="242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0" t="s">
        <v>36</v>
      </c>
      <c r="C23" s="261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0" t="s">
        <v>37</v>
      </c>
      <c r="C24" s="261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0" t="s">
        <v>8</v>
      </c>
      <c r="C25" s="261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0"/>
      <c r="C26" s="261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2" t="str">
        <f>Назви!A29</f>
        <v>Орієнтовний порядок повернення кредиту</v>
      </c>
      <c r="C29" s="263"/>
      <c r="D29" s="263"/>
      <c r="E29" s="263"/>
      <c r="F29" s="263"/>
      <c r="G29" s="263"/>
      <c r="H29" s="264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65" t="str">
        <f>Назви!A30</f>
        <v>Місяць</v>
      </c>
      <c r="C30" s="266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5" t="str">
        <f>Назви!F30</f>
        <v>Сума платежу за розрахунковий період, грн.</v>
      </c>
      <c r="H30" s="266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45918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45948</v>
      </c>
      <c r="D32" s="137" t="e">
        <f>IF(B32&lt;$F$13,$G$16-E32-F32,IF(B32=$F$13,$E$15-SUM($D$31:D31),0))</f>
        <v>#N/A</v>
      </c>
      <c r="E32" s="138" t="e">
        <f>IF(B32&lt;=$F$13,(E$15*(VLOOKUP($H$2,Лист2!$A:$O,12,0)-(B32-1)*VLOOKUP($H$2,Лист2!$A:$O,13,0))),0)</f>
        <v>#N/A</v>
      </c>
      <c r="F32" s="138" t="e">
        <f>ROUND(E$15*F$7*30/365,2)</f>
        <v>#N/A</v>
      </c>
      <c r="G32" s="267" t="e">
        <f t="shared" ref="G32:G91" si="4">D32+E32+F32</f>
        <v>#N/A</v>
      </c>
      <c r="H32" s="268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45979</v>
      </c>
      <c r="D33" s="31" t="e">
        <f>G16-E32-F32</f>
        <v>#N/A</v>
      </c>
      <c r="E33" s="32" t="e">
        <f>IF(B33&lt;=$F$13,(E$15*(VLOOKUP($H$2,Лист2!$A:$O,12,0)-(B33-1)*VLOOKUP($H$2,Лист2!$A:$O,13,0))),0)*0</f>
        <v>#N/A</v>
      </c>
      <c r="F33" s="184" t="e">
        <f>ROUND((E$15-SUM(D$32:D32))*F$7*30/365,2)*0.1%</f>
        <v>#N/A</v>
      </c>
      <c r="G33" s="258" t="e">
        <f t="shared" si="4"/>
        <v>#N/A</v>
      </c>
      <c r="H33" s="259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46009</v>
      </c>
      <c r="D34" s="31" t="e">
        <f>IF(B34&lt;$F$13,$G$16-E34-F34,IF(B34=$F$13,$E$15-SUM($D$31:D33),0))</f>
        <v>#N/A</v>
      </c>
      <c r="E34" s="32" t="e">
        <f>IF(B34&lt;=$F$13,(E$15*(VLOOKUP($H$2,Лист2!$A:$O,12,0)-(B34-1)*VLOOKUP($H$2,Лист2!$A:$O,13,0))),0)</f>
        <v>#N/A</v>
      </c>
      <c r="F34" s="184" t="e">
        <f>ROUND((E$15-SUM(D$32:D33))*F$7*30/365,2)</f>
        <v>#N/A</v>
      </c>
      <c r="G34" s="258" t="e">
        <f t="shared" si="4"/>
        <v>#N/A</v>
      </c>
      <c r="H34" s="259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46040</v>
      </c>
      <c r="D35" s="31" t="e">
        <f>IF(B35&lt;$F$13,$G$16-E35-F35,IF(B35=$F$13,$E$15-SUM($D$31:D34),0))</f>
        <v>#N/A</v>
      </c>
      <c r="E35" s="32" t="e">
        <f>IF(B35&lt;=$F$13,(E$15*(VLOOKUP($H$2,Лист2!$A:$O,12,0)-(B35-1)*VLOOKUP($H$2,Лист2!$A:$O,13,0))),0)</f>
        <v>#N/A</v>
      </c>
      <c r="F35" s="184" t="e">
        <f>ROUND((E$15-SUM(D$32:D34))*F$7*30/365,2)</f>
        <v>#N/A</v>
      </c>
      <c r="G35" s="258" t="e">
        <f t="shared" si="4"/>
        <v>#N/A</v>
      </c>
      <c r="H35" s="259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46071</v>
      </c>
      <c r="D36" s="31" t="e">
        <f>IF(B36&lt;$F$13,$G$16-E36-F36,IF(B36=$F$13,$E$15-SUM($D$31:D35),0))</f>
        <v>#N/A</v>
      </c>
      <c r="E36" s="32" t="e">
        <f>IF(B36&lt;=$F$13,(E$15*(VLOOKUP($H$2,Лист2!$A:$O,12,0)-(B36-1)*VLOOKUP($H$2,Лист2!$A:$O,13,0))),0)</f>
        <v>#N/A</v>
      </c>
      <c r="F36" s="184" t="e">
        <f>ROUND((E$15-SUM(D$32:D35))*F$7*30/365,2)</f>
        <v>#N/A</v>
      </c>
      <c r="G36" s="258" t="e">
        <f t="shared" si="4"/>
        <v>#N/A</v>
      </c>
      <c r="H36" s="259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46099</v>
      </c>
      <c r="D37" s="31" t="e">
        <f>IF(B37&lt;$F$13,$G$16-E37-F37,IF(B37=$F$13,$E$15-SUM($D$31:D36),0))</f>
        <v>#N/A</v>
      </c>
      <c r="E37" s="32" t="e">
        <f>IF(B37&lt;=$F$13,(E$15*(VLOOKUP($H$2,Лист2!$A:$O,12,0)-(B37-1)*VLOOKUP($H$2,Лист2!$A:$O,13,0))),0)</f>
        <v>#N/A</v>
      </c>
      <c r="F37" s="184" t="e">
        <f>ROUND((E$15-SUM(D$32:D36))*F$7*30/365,2)</f>
        <v>#N/A</v>
      </c>
      <c r="G37" s="258" t="e">
        <f t="shared" si="4"/>
        <v>#N/A</v>
      </c>
      <c r="H37" s="259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46130</v>
      </c>
      <c r="D38" s="31" t="e">
        <f>IF(B38&lt;$F$13,$G$16-E38-F38,IF(B38=$F$13,$E$15-SUM($D$31:D37),0))</f>
        <v>#N/A</v>
      </c>
      <c r="E38" s="32" t="e">
        <f>IF(B38&lt;=$F$13,(E$15*(VLOOKUP($H$2,Лист2!$A:$O,12,0)-(B38-1)*VLOOKUP($H$2,Лист2!$A:$O,13,0))),0)</f>
        <v>#N/A</v>
      </c>
      <c r="F38" s="184" t="e">
        <f>ROUND((E$15-SUM(D$32:D37))*F$7*30/365,2)</f>
        <v>#N/A</v>
      </c>
      <c r="G38" s="258" t="e">
        <f t="shared" si="4"/>
        <v>#N/A</v>
      </c>
      <c r="H38" s="259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46160</v>
      </c>
      <c r="D39" s="31" t="e">
        <f>IF(B39&lt;$F$13,$G$16-E39-F39,IF(B39=$F$13,$E$15-SUM($D$31:D38),0))</f>
        <v>#N/A</v>
      </c>
      <c r="E39" s="32" t="e">
        <f>IF(B39&lt;=$F$13,(E$15*(VLOOKUP($H$2,Лист2!$A:$O,12,0)-(B39-1)*VLOOKUP($H$2,Лист2!$A:$O,13,0))),0)</f>
        <v>#N/A</v>
      </c>
      <c r="F39" s="184" t="e">
        <f>ROUND((E$15-SUM(D$32:D38))*F$7*30/365,2)</f>
        <v>#N/A</v>
      </c>
      <c r="G39" s="258" t="e">
        <f t="shared" si="4"/>
        <v>#N/A</v>
      </c>
      <c r="H39" s="259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46191</v>
      </c>
      <c r="D40" s="31" t="e">
        <f>IF(B40&lt;$F$13,$G$16-E40-F40,IF(B40=$F$13,$E$15-SUM($D$31:D39),0))</f>
        <v>#N/A</v>
      </c>
      <c r="E40" s="32" t="e">
        <f>IF(B40&lt;=$F$13,(E$15*(VLOOKUP($H$2,Лист2!$A:$O,12,0)-(B40-1)*VLOOKUP($H$2,Лист2!$A:$O,13,0))),0)</f>
        <v>#N/A</v>
      </c>
      <c r="F40" s="184" t="e">
        <f>ROUND((E$15-SUM(D$32:D39))*F$7*30/365,2)</f>
        <v>#N/A</v>
      </c>
      <c r="G40" s="258" t="e">
        <f t="shared" si="4"/>
        <v>#N/A</v>
      </c>
      <c r="H40" s="259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46221</v>
      </c>
      <c r="D41" s="31" t="e">
        <f>IF(B41&lt;$F$13,$G$16-E41-F41,IF(B41=$F$13,$E$15-SUM($D$31:D40),0))</f>
        <v>#N/A</v>
      </c>
      <c r="E41" s="32" t="e">
        <f>IF(B41&lt;=$F$13,(E$15*(VLOOKUP($H$2,Лист2!$A:$O,12,0)-(B41-1)*VLOOKUP($H$2,Лист2!$A:$O,13,0))),0)</f>
        <v>#N/A</v>
      </c>
      <c r="F41" s="184" t="e">
        <f>ROUND((E$15-SUM(D$32:D40))*F$7*30/365,2)</f>
        <v>#N/A</v>
      </c>
      <c r="G41" s="258" t="e">
        <f t="shared" si="4"/>
        <v>#N/A</v>
      </c>
      <c r="H41" s="259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46252</v>
      </c>
      <c r="D42" s="31" t="e">
        <f>IF(B42&lt;$F$13,$G$16-E42-F42,IF(B42=$F$13,$E$15-SUM($D$31:D41),0))</f>
        <v>#N/A</v>
      </c>
      <c r="E42" s="32" t="e">
        <f>IF(B42&lt;=$F$13,(E$15*(VLOOKUP($H$2,Лист2!$A:$O,12,0)-(B42-1)*VLOOKUP($H$2,Лист2!$A:$O,13,0))),0)</f>
        <v>#N/A</v>
      </c>
      <c r="F42" s="184" t="e">
        <f>ROUND((E$15-SUM(D$32:D41))*F$7*30/365,2)</f>
        <v>#N/A</v>
      </c>
      <c r="G42" s="258" t="e">
        <f t="shared" si="4"/>
        <v>#N/A</v>
      </c>
      <c r="H42" s="259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46283</v>
      </c>
      <c r="D43" s="31" t="e">
        <f>IF(B43&lt;$F$13,$G$16-E43-F43,IF(B43=$F$13,$E$15-SUM($D$31:D42),0))</f>
        <v>#N/A</v>
      </c>
      <c r="E43" s="32" t="e">
        <f>IF(B43&lt;=$F$13,(E$15*(VLOOKUP($H$2,Лист2!$A:$O,12,0)-(B43-1)*VLOOKUP($H$2,Лист2!$A:$O,13,0))),0)</f>
        <v>#N/A</v>
      </c>
      <c r="F43" s="184" t="e">
        <f>ROUND((E$15-SUM(D$32:D42))*F$7*30/365,2)</f>
        <v>#N/A</v>
      </c>
      <c r="G43" s="258" t="e">
        <f t="shared" si="4"/>
        <v>#N/A</v>
      </c>
      <c r="H43" s="259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46313</v>
      </c>
      <c r="D44" s="31" t="e">
        <f>IF(B44&lt;$F$13,$G$16-E44-F44,IF(B44=$F$13,$E$15-SUM($D$31:D43),0))</f>
        <v>#N/A</v>
      </c>
      <c r="E44" s="32" t="e">
        <f>IF(B44&lt;=$F$13,(E$15*(VLOOKUP($H$2,Лист2!$A:$O,12,0)-(B44-1)*VLOOKUP($H$2,Лист2!$A:$O,13,0))),0)</f>
        <v>#N/A</v>
      </c>
      <c r="F44" s="184" t="e">
        <f>ROUND((E$15-SUM(D$32:D43))*F$7*30/365,2)</f>
        <v>#N/A</v>
      </c>
      <c r="G44" s="258" t="e">
        <f t="shared" si="4"/>
        <v>#N/A</v>
      </c>
      <c r="H44" s="259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46344</v>
      </c>
      <c r="D45" s="31" t="e">
        <f>IF(B45&lt;$F$13,$G$16-E45-F45,IF(B45=$F$13,$E$15-SUM($D$31:D44),0))</f>
        <v>#N/A</v>
      </c>
      <c r="E45" s="32" t="e">
        <f>IF(B45&lt;=$F$13,(E$15*(VLOOKUP($H$2,Лист2!$A:$O,12,0)-(B45-1)*VLOOKUP($H$2,Лист2!$A:$O,13,0))),0)</f>
        <v>#N/A</v>
      </c>
      <c r="F45" s="184" t="e">
        <f>ROUND((E$15-SUM(D$32:D44))*F$7*30/365,2)</f>
        <v>#N/A</v>
      </c>
      <c r="G45" s="258" t="e">
        <f t="shared" si="4"/>
        <v>#N/A</v>
      </c>
      <c r="H45" s="259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46374</v>
      </c>
      <c r="D46" s="31" t="e">
        <f>IF(B46&lt;$F$13,$G$16-E46-F46,IF(B46=$F$13,$E$15-SUM($D$31:D45),0))</f>
        <v>#N/A</v>
      </c>
      <c r="E46" s="32" t="e">
        <f>IF(B46&lt;=$F$13,(E$15*(VLOOKUP($H$2,Лист2!$A:$O,12,0)-(B46-1)*VLOOKUP($H$2,Лист2!$A:$O,13,0))),0)</f>
        <v>#N/A</v>
      </c>
      <c r="F46" s="184" t="e">
        <f>ROUND((E$15-SUM(D$32:D45))*F$7*30/365,2)</f>
        <v>#N/A</v>
      </c>
      <c r="G46" s="258" t="e">
        <f t="shared" si="4"/>
        <v>#N/A</v>
      </c>
      <c r="H46" s="259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46405</v>
      </c>
      <c r="D47" s="31" t="e">
        <f>IF(B47&lt;$F$13,$G$16-E47-F47,IF(B47=$F$13,$E$15-SUM($D$31:D46),0))</f>
        <v>#N/A</v>
      </c>
      <c r="E47" s="32" t="e">
        <f>IF(B47&lt;=$F$13,(E$15*(VLOOKUP($H$2,Лист2!$A:$O,12,0)-(B47-1)*VLOOKUP($H$2,Лист2!$A:$O,13,0))),0)</f>
        <v>#N/A</v>
      </c>
      <c r="F47" s="184" t="e">
        <f>ROUND((E$15-SUM(D$32:D46))*F$7*30/365,2)</f>
        <v>#N/A</v>
      </c>
      <c r="G47" s="258" t="e">
        <f t="shared" si="4"/>
        <v>#N/A</v>
      </c>
      <c r="H47" s="259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46436</v>
      </c>
      <c r="D48" s="31" t="e">
        <f>IF(B48&lt;$F$13,$G$16-E48-F48,IF(B48=$F$13,$E$15-SUM($D$31:D47),0))</f>
        <v>#N/A</v>
      </c>
      <c r="E48" s="32" t="e">
        <f>IF(B48&lt;=$F$13,(E$15*(VLOOKUP($H$2,Лист2!$A:$O,12,0)-(B48-1)*VLOOKUP($H$2,Лист2!$A:$O,13,0))),0)</f>
        <v>#N/A</v>
      </c>
      <c r="F48" s="184" t="e">
        <f>ROUND((E$15-SUM(D$32:D47))*F$7*30/365,2)</f>
        <v>#N/A</v>
      </c>
      <c r="G48" s="258" t="e">
        <f t="shared" si="4"/>
        <v>#N/A</v>
      </c>
      <c r="H48" s="259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46464</v>
      </c>
      <c r="D49" s="31" t="e">
        <f>IF(B49&lt;$F$13,$G$16-E49-F49,IF(B49=$F$13,$E$15-SUM($D$31:D48),0))</f>
        <v>#N/A</v>
      </c>
      <c r="E49" s="32" t="e">
        <f>IF(B49&lt;=$F$13,(E$15*(VLOOKUP($H$2,Лист2!$A:$O,12,0)-(B49-1)*VLOOKUP($H$2,Лист2!$A:$O,13,0))),0)</f>
        <v>#N/A</v>
      </c>
      <c r="F49" s="184" t="e">
        <f>ROUND((E$15-SUM(D$32:D48))*F$7*30/365,2)</f>
        <v>#N/A</v>
      </c>
      <c r="G49" s="258" t="e">
        <f t="shared" si="4"/>
        <v>#N/A</v>
      </c>
      <c r="H49" s="259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46495</v>
      </c>
      <c r="D50" s="31" t="e">
        <f>IF(B50&lt;$F$13,$G$16-E50-F50,IF(B50=$F$13,$E$15-SUM($D$31:D49),0))</f>
        <v>#N/A</v>
      </c>
      <c r="E50" s="32" t="e">
        <f>IF(B50&lt;=$F$13,(E$15*(VLOOKUP($H$2,Лист2!$A:$O,12,0)-(B50-1)*VLOOKUP($H$2,Лист2!$A:$O,13,0))),0)</f>
        <v>#N/A</v>
      </c>
      <c r="F50" s="184" t="e">
        <f>ROUND((E$15-SUM(D$32:D49))*F$7*30/365,2)</f>
        <v>#N/A</v>
      </c>
      <c r="G50" s="258" t="e">
        <f t="shared" si="4"/>
        <v>#N/A</v>
      </c>
      <c r="H50" s="259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46525</v>
      </c>
      <c r="D51" s="31" t="e">
        <f>IF(B51&lt;$F$13,$G$16-E51-F51,IF(B51=$F$13,$E$15-SUM($D$31:D50),0))</f>
        <v>#N/A</v>
      </c>
      <c r="E51" s="32" t="e">
        <f>IF(B51&lt;=$F$13,(E$15*(VLOOKUP($H$2,Лист2!$A:$O,12,0)-(B51-1)*VLOOKUP($H$2,Лист2!$A:$O,13,0))),0)</f>
        <v>#N/A</v>
      </c>
      <c r="F51" s="184" t="e">
        <f>ROUND((E$15-SUM(D$32:D50))*F$7*30/365,2)</f>
        <v>#N/A</v>
      </c>
      <c r="G51" s="258" t="e">
        <f t="shared" si="4"/>
        <v>#N/A</v>
      </c>
      <c r="H51" s="259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46556</v>
      </c>
      <c r="D52" s="31" t="e">
        <f>IF(B52&lt;$F$13,$G$16-E52-F52,IF(B52=$F$13,$E$15-SUM($D$31:D51),0))</f>
        <v>#N/A</v>
      </c>
      <c r="E52" s="32" t="e">
        <f>IF(B52&lt;=$F$13,(E$15*(VLOOKUP($H$2,Лист2!$A:$O,12,0)-(B52-1)*VLOOKUP($H$2,Лист2!$A:$O,13,0))),0)</f>
        <v>#N/A</v>
      </c>
      <c r="F52" s="184" t="e">
        <f>ROUND((E$15-SUM(D$32:D51))*F$7*30/365,2)</f>
        <v>#N/A</v>
      </c>
      <c r="G52" s="258" t="e">
        <f t="shared" si="4"/>
        <v>#N/A</v>
      </c>
      <c r="H52" s="259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46586</v>
      </c>
      <c r="D53" s="31" t="e">
        <f>IF(B53&lt;$F$13,$G$16-E53-F53,IF(B53=$F$13,$E$15-SUM($D$31:D52),0))</f>
        <v>#N/A</v>
      </c>
      <c r="E53" s="32" t="e">
        <f>IF(B53&lt;=$F$13,(E$15*(VLOOKUP($H$2,Лист2!$A:$O,12,0)-(B53-1)*VLOOKUP($H$2,Лист2!$A:$O,13,0))),0)</f>
        <v>#N/A</v>
      </c>
      <c r="F53" s="184" t="e">
        <f>ROUND((E$15-SUM(D$32:D52))*F$7*30/365,2)</f>
        <v>#N/A</v>
      </c>
      <c r="G53" s="258" t="e">
        <f t="shared" si="4"/>
        <v>#N/A</v>
      </c>
      <c r="H53" s="259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46617</v>
      </c>
      <c r="D54" s="31" t="e">
        <f>IF(B54&lt;$F$13,$G$16-E54-F54,IF(B54=$F$13,$E$15-SUM($D$31:D53),0))</f>
        <v>#N/A</v>
      </c>
      <c r="E54" s="32" t="e">
        <f>IF(B54&lt;=$F$13,(E$15*(VLOOKUP($H$2,Лист2!$A:$O,12,0)-(B54-1)*VLOOKUP($H$2,Лист2!$A:$O,13,0))),0)</f>
        <v>#N/A</v>
      </c>
      <c r="F54" s="184" t="e">
        <f>ROUND((E$15-SUM(D$32:D53))*F$7*30/365,2)</f>
        <v>#N/A</v>
      </c>
      <c r="G54" s="258" t="e">
        <f t="shared" si="4"/>
        <v>#N/A</v>
      </c>
      <c r="H54" s="259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46648</v>
      </c>
      <c r="D55" s="31" t="e">
        <f>IF(B55&lt;$F$13,$G$16-E55-F55,IF(B55=$F$13,$E$15-SUM($D$31:D54),0))</f>
        <v>#N/A</v>
      </c>
      <c r="E55" s="32" t="e">
        <f>IF(B55&lt;=$F$13,(E$15*(VLOOKUP($H$2,Лист2!$A:$O,12,0)-(B55-1)*VLOOKUP($H$2,Лист2!$A:$O,13,0))),0)</f>
        <v>#N/A</v>
      </c>
      <c r="F55" s="184" t="e">
        <f>ROUND((E$15-SUM(D$32:D54))*F$7*30/365,2)</f>
        <v>#N/A</v>
      </c>
      <c r="G55" s="258" t="e">
        <f t="shared" si="4"/>
        <v>#N/A</v>
      </c>
      <c r="H55" s="259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46678</v>
      </c>
      <c r="D56" s="31" t="e">
        <f>IF(B56&lt;$F$13,$G$16-E56-F56,IF(B56=$F$13,$E$15-SUM($D$31:D55),0))</f>
        <v>#N/A</v>
      </c>
      <c r="E56" s="32" t="e">
        <f>IF(B56&lt;=$F$13,(E$15*(VLOOKUP($H$2,Лист2!$A:$O,12,0)-(B56-1)*VLOOKUP($H$2,Лист2!$A:$O,13,0))),0)</f>
        <v>#N/A</v>
      </c>
      <c r="F56" s="184" t="e">
        <f>ROUND((E$15-SUM(D$32:D55))*F$7*30/365,2)</f>
        <v>#N/A</v>
      </c>
      <c r="G56" s="258" t="e">
        <f t="shared" si="4"/>
        <v>#N/A</v>
      </c>
      <c r="H56" s="259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46709</v>
      </c>
      <c r="D57" s="31" t="e">
        <f>IF(B57&lt;$F$13,$G$16-E57-F57,IF(B57=$F$13,$E$15-SUM($D$31:D56),0))</f>
        <v>#N/A</v>
      </c>
      <c r="E57" s="32" t="e">
        <f>IF(B57&lt;=$F$13,(E$15*(VLOOKUP($H$2,Лист2!$A:$O,12,0)-(B57-1)*VLOOKUP($H$2,Лист2!$A:$O,13,0))),0)</f>
        <v>#N/A</v>
      </c>
      <c r="F57" s="184" t="e">
        <f>ROUND((E$15-SUM(D$32:D56))*F$7*30/365,2)</f>
        <v>#N/A</v>
      </c>
      <c r="G57" s="258" t="e">
        <f t="shared" si="4"/>
        <v>#N/A</v>
      </c>
      <c r="H57" s="259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46739</v>
      </c>
      <c r="D58" s="31" t="e">
        <f>IF(B58&lt;$F$13,$G$16-E58-F58,IF(B58=$F$13,$E$15-SUM($D$31:D57),0))</f>
        <v>#N/A</v>
      </c>
      <c r="E58" s="32" t="e">
        <f>IF(B58&lt;=$F$13,(E$15*(VLOOKUP($H$2,Лист2!$A:$O,12,0)-(B58-1)*VLOOKUP($H$2,Лист2!$A:$O,13,0))),0)</f>
        <v>#N/A</v>
      </c>
      <c r="F58" s="184" t="e">
        <f>ROUND((E$15-SUM(D$32:D57))*F$7*30/365,2)</f>
        <v>#N/A</v>
      </c>
      <c r="G58" s="258" t="e">
        <f t="shared" si="4"/>
        <v>#N/A</v>
      </c>
      <c r="H58" s="259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46770</v>
      </c>
      <c r="D59" s="31" t="e">
        <f>IF(B59&lt;$F$13,$G$16-E59-F59,IF(B59=$F$13,$E$15-SUM($D$31:D58),0))</f>
        <v>#N/A</v>
      </c>
      <c r="E59" s="32" t="e">
        <f>IF(B59&lt;=$F$13,(E$15*(VLOOKUP($H$2,Лист2!$A:$O,12,0)-(B59-1)*VLOOKUP($H$2,Лист2!$A:$O,13,0))),0)</f>
        <v>#N/A</v>
      </c>
      <c r="F59" s="184" t="e">
        <f>ROUND((E$15-SUM(D$32:D58))*F$7*30/365,2)</f>
        <v>#N/A</v>
      </c>
      <c r="G59" s="258" t="e">
        <f t="shared" si="4"/>
        <v>#N/A</v>
      </c>
      <c r="H59" s="259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46801</v>
      </c>
      <c r="D60" s="31" t="e">
        <f>IF(B60&lt;$F$13,$G$16-E60-F60,IF(B60=$F$13,$E$15-SUM($D$31:D59),0))</f>
        <v>#N/A</v>
      </c>
      <c r="E60" s="32" t="e">
        <f>IF(B60&lt;=$F$13,(E$15*(VLOOKUP($H$2,Лист2!$A:$O,12,0)-(B60-1)*VLOOKUP($H$2,Лист2!$A:$O,13,0))),0)</f>
        <v>#N/A</v>
      </c>
      <c r="F60" s="184" t="e">
        <f>ROUND((E$15-SUM(D$32:D59))*F$7*30/365,2)</f>
        <v>#N/A</v>
      </c>
      <c r="G60" s="258" t="e">
        <f t="shared" si="4"/>
        <v>#N/A</v>
      </c>
      <c r="H60" s="259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46830</v>
      </c>
      <c r="D61" s="31" t="e">
        <f>IF(B61&lt;$F$13,$G$16-E61-F61,IF(B61=$F$13,$E$15-SUM($D$31:D60),0))</f>
        <v>#N/A</v>
      </c>
      <c r="E61" s="32" t="e">
        <f>IF(B61&lt;=$F$13,(E$15*(VLOOKUP($H$2,Лист2!$A:$O,12,0)-(B61-1)*VLOOKUP($H$2,Лист2!$A:$O,13,0))),0)</f>
        <v>#N/A</v>
      </c>
      <c r="F61" s="184" t="e">
        <f>ROUND((E$15-SUM(D$32:D60))*F$7*30/365,2)</f>
        <v>#N/A</v>
      </c>
      <c r="G61" s="258" t="e">
        <f t="shared" si="4"/>
        <v>#N/A</v>
      </c>
      <c r="H61" s="259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46861</v>
      </c>
      <c r="D62" s="31" t="e">
        <f>IF(B62&lt;$F$13,$G$16-E62-F62,IF(B62=$F$13,$E$15-SUM($D$31:D61),0))</f>
        <v>#N/A</v>
      </c>
      <c r="E62" s="32" t="e">
        <f>IF(B62&lt;=$F$13,(E$15*(VLOOKUP($H$2,Лист2!$A:$O,12,0)-(B62-1)*VLOOKUP($H$2,Лист2!$A:$O,13,0))),0)</f>
        <v>#N/A</v>
      </c>
      <c r="F62" s="184" t="e">
        <f>ROUND((E$15-SUM(D$32:D61))*F$7*30/365,2)</f>
        <v>#N/A</v>
      </c>
      <c r="G62" s="258" t="e">
        <f t="shared" si="4"/>
        <v>#N/A</v>
      </c>
      <c r="H62" s="259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46891</v>
      </c>
      <c r="D63" s="31" t="e">
        <f>IF(B63&lt;$F$13,$G$16-E63-F63,IF(B63=$F$13,$E$15-SUM($D$31:D62),0))</f>
        <v>#N/A</v>
      </c>
      <c r="E63" s="32" t="e">
        <f>IF(B63&lt;=$F$13,(E$15*(VLOOKUP($H$2,Лист2!$A:$O,12,0)-(B63-1)*VLOOKUP($H$2,Лист2!$A:$O,13,0))),0)</f>
        <v>#N/A</v>
      </c>
      <c r="F63" s="184" t="e">
        <f>ROUND((E$15-SUM(D$32:D62))*F$7*30/365,2)</f>
        <v>#N/A</v>
      </c>
      <c r="G63" s="258" t="e">
        <f t="shared" si="4"/>
        <v>#N/A</v>
      </c>
      <c r="H63" s="259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46922</v>
      </c>
      <c r="D64" s="31" t="e">
        <f>IF(B64&lt;$F$13,$G$16-E64-F64,IF(B64=$F$13,$E$15-SUM($D$31:D63),0))</f>
        <v>#N/A</v>
      </c>
      <c r="E64" s="32" t="e">
        <f>IF(B64&lt;=$F$13,(E$15*(VLOOKUP($H$2,Лист2!$A:$O,12,0)-(B64-1)*VLOOKUP($H$2,Лист2!$A:$O,13,0))),0)</f>
        <v>#N/A</v>
      </c>
      <c r="F64" s="184" t="e">
        <f>ROUND((E$15-SUM(D$32:D63))*F$7*30/365,2)</f>
        <v>#N/A</v>
      </c>
      <c r="G64" s="258" t="e">
        <f t="shared" si="4"/>
        <v>#N/A</v>
      </c>
      <c r="H64" s="259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46952</v>
      </c>
      <c r="D65" s="31" t="e">
        <f>IF(B65&lt;$F$13,$G$16-E65-F65,IF(B65=$F$13,$E$15-SUM($D$31:D64),0))</f>
        <v>#N/A</v>
      </c>
      <c r="E65" s="32" t="e">
        <f>IF(B65&lt;=$F$13,(E$15*(VLOOKUP($H$2,Лист2!$A:$O,12,0)-(B65-1)*VLOOKUP($H$2,Лист2!$A:$O,13,0))),0)</f>
        <v>#N/A</v>
      </c>
      <c r="F65" s="184" t="e">
        <f>ROUND((E$15-SUM(D$32:D64))*F$7*30/365,2)</f>
        <v>#N/A</v>
      </c>
      <c r="G65" s="258" t="e">
        <f t="shared" si="4"/>
        <v>#N/A</v>
      </c>
      <c r="H65" s="259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46983</v>
      </c>
      <c r="D66" s="31" t="e">
        <f>IF(B66&lt;$F$13,$G$16-E66-F66,IF(B66=$F$13,$E$15-SUM($D$31:D65),0))</f>
        <v>#N/A</v>
      </c>
      <c r="E66" s="32" t="e">
        <f>IF(B66&lt;=$F$13,(E$15*(VLOOKUP($H$2,Лист2!$A:$O,12,0)-(B66-1)*VLOOKUP($H$2,Лист2!$A:$O,13,0))),0)</f>
        <v>#N/A</v>
      </c>
      <c r="F66" s="184" t="e">
        <f>ROUND((E$15-SUM(D$32:D65))*F$7*30/365,2)</f>
        <v>#N/A</v>
      </c>
      <c r="G66" s="258" t="e">
        <f t="shared" si="4"/>
        <v>#N/A</v>
      </c>
      <c r="H66" s="259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47014</v>
      </c>
      <c r="D67" s="31" t="e">
        <f>IF(B67&lt;$F$13,$G$16-E67-F67,IF(B67=$F$13,$E$15-SUM($D$31:D66),0))</f>
        <v>#N/A</v>
      </c>
      <c r="E67" s="32" t="e">
        <f>IF(B67&lt;=$F$13,(E$15*(VLOOKUP($H$2,Лист2!$A:$O,12,0)-(B67-1)*VLOOKUP($H$2,Лист2!$A:$O,13,0))),0)</f>
        <v>#N/A</v>
      </c>
      <c r="F67" s="184" t="e">
        <f>ROUND((E$15-SUM(D$32:D66))*F$7*30/365,2)</f>
        <v>#N/A</v>
      </c>
      <c r="G67" s="258" t="e">
        <f t="shared" si="4"/>
        <v>#N/A</v>
      </c>
      <c r="H67" s="259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47044</v>
      </c>
      <c r="D68" s="31" t="e">
        <f>IF(B68&lt;$F$13,$G$16-E68-F68,IF(B68=$F$13,$E$15-SUM($D$31:D67),0))</f>
        <v>#N/A</v>
      </c>
      <c r="E68" s="32" t="e">
        <f>IF(B68&lt;=$F$13,(E$15*(VLOOKUP($H$2,Лист2!$A:$O,12,0)-(B68-1)*VLOOKUP($H$2,Лист2!$A:$O,13,0))),0)</f>
        <v>#N/A</v>
      </c>
      <c r="F68" s="184" t="e">
        <f>ROUND((E$15-SUM(D$32:D67))*F$7*30/365,2)</f>
        <v>#N/A</v>
      </c>
      <c r="G68" s="258" t="e">
        <f t="shared" si="4"/>
        <v>#N/A</v>
      </c>
      <c r="H68" s="259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47075</v>
      </c>
      <c r="D69" s="31" t="e">
        <f>IF(B69&lt;$F$13,$G$16-E69-F69,IF(B69=$F$13,$E$15-SUM($D$31:D68),0))</f>
        <v>#N/A</v>
      </c>
      <c r="E69" s="32" t="e">
        <f>IF(B69&lt;=$F$13,(E$15*(VLOOKUP($H$2,Лист2!$A:$O,12,0)-(B69-1)*VLOOKUP($H$2,Лист2!$A:$O,13,0))),0)</f>
        <v>#N/A</v>
      </c>
      <c r="F69" s="184" t="e">
        <f>ROUND((E$15-SUM(D$32:D68))*F$7*30/365,2)</f>
        <v>#N/A</v>
      </c>
      <c r="G69" s="258" t="e">
        <f t="shared" si="4"/>
        <v>#N/A</v>
      </c>
      <c r="H69" s="259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47105</v>
      </c>
      <c r="D70" s="31" t="e">
        <f>IF(B70&lt;$F$13,$G$16-E70-F70,IF(B70=$F$13,$E$15-SUM($D$31:D69),0))</f>
        <v>#N/A</v>
      </c>
      <c r="E70" s="32" t="e">
        <f>IF(B70&lt;=$F$13,(E$15*(VLOOKUP($H$2,Лист2!$A:$O,12,0)-(B70-1)*VLOOKUP($H$2,Лист2!$A:$O,13,0))),0)</f>
        <v>#N/A</v>
      </c>
      <c r="F70" s="184" t="e">
        <f>ROUND((E$15-SUM(D$32:D69))*F$7*30/365,2)</f>
        <v>#N/A</v>
      </c>
      <c r="G70" s="258" t="e">
        <f t="shared" si="4"/>
        <v>#N/A</v>
      </c>
      <c r="H70" s="259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47136</v>
      </c>
      <c r="D71" s="31" t="e">
        <f>IF(B71&lt;$F$13,$G$16-E71-F71,IF(B71=$F$13,$E$15-SUM($D$31:D70),0))</f>
        <v>#N/A</v>
      </c>
      <c r="E71" s="32" t="e">
        <f>IF(B71&lt;=$F$13,(E$15*(VLOOKUP($H$2,Лист2!$A:$O,12,0)-(B71-1)*VLOOKUP($H$2,Лист2!$A:$O,13,0))),0)</f>
        <v>#N/A</v>
      </c>
      <c r="F71" s="184" t="e">
        <f>ROUND((E$15-SUM(D$32:D70))*F$7*30/365,2)</f>
        <v>#N/A</v>
      </c>
      <c r="G71" s="258" t="e">
        <f t="shared" si="4"/>
        <v>#N/A</v>
      </c>
      <c r="H71" s="259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47167</v>
      </c>
      <c r="D72" s="31" t="e">
        <f>IF(B72&lt;$F$13,$G$16-E72-F72,IF(B72=$F$13,$E$15-SUM($D$31:D71),0))</f>
        <v>#N/A</v>
      </c>
      <c r="E72" s="32" t="e">
        <f>IF(B72&lt;=$F$13,(E$15*(VLOOKUP($H$2,Лист2!$A:$O,12,0)-(B72-1)*VLOOKUP($H$2,Лист2!$A:$O,13,0))),0)</f>
        <v>#N/A</v>
      </c>
      <c r="F72" s="184" t="e">
        <f>ROUND((E$15-SUM(D$32:D71))*F$7*30/365,2)</f>
        <v>#N/A</v>
      </c>
      <c r="G72" s="258" t="e">
        <f t="shared" si="4"/>
        <v>#N/A</v>
      </c>
      <c r="H72" s="259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47195</v>
      </c>
      <c r="D73" s="31" t="e">
        <f>IF(B73&lt;$F$13,$G$16-E73-F73,IF(B73=$F$13,$E$15-SUM($D$31:D72),0))</f>
        <v>#N/A</v>
      </c>
      <c r="E73" s="32" t="e">
        <f>IF(B73&lt;=$F$13,(E$15*(VLOOKUP($H$2,Лист2!$A:$O,12,0)-(B73-1)*VLOOKUP($H$2,Лист2!$A:$O,13,0))),0)</f>
        <v>#N/A</v>
      </c>
      <c r="F73" s="184" t="e">
        <f>ROUND((E$15-SUM(D$32:D72))*F$7*30/365,2)</f>
        <v>#N/A</v>
      </c>
      <c r="G73" s="258" t="e">
        <f t="shared" si="4"/>
        <v>#N/A</v>
      </c>
      <c r="H73" s="259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47226</v>
      </c>
      <c r="D74" s="31" t="e">
        <f>IF(B74&lt;$F$13,$G$16-E74-F74,IF(B74=$F$13,$E$15-SUM($D$31:D73),0))</f>
        <v>#N/A</v>
      </c>
      <c r="E74" s="32" t="e">
        <f>IF(B74&lt;=$F$13,(E$15*(VLOOKUP($H$2,Лист2!$A:$O,12,0)-(B74-1)*VLOOKUP($H$2,Лист2!$A:$O,13,0))),0)</f>
        <v>#N/A</v>
      </c>
      <c r="F74" s="184" t="e">
        <f>ROUND((E$15-SUM(D$32:D73))*F$7*30/365,2)</f>
        <v>#N/A</v>
      </c>
      <c r="G74" s="258" t="e">
        <f t="shared" si="4"/>
        <v>#N/A</v>
      </c>
      <c r="H74" s="259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47256</v>
      </c>
      <c r="D75" s="31" t="e">
        <f>IF(B75&lt;$F$13,$G$16-E75-F75,IF(B75=$F$13,$E$15-SUM($D$31:D74),0))</f>
        <v>#N/A</v>
      </c>
      <c r="E75" s="32" t="e">
        <f>IF(B75&lt;=$F$13,(E$15*(VLOOKUP($H$2,Лист2!$A:$O,12,0)-(B75-1)*VLOOKUP($H$2,Лист2!$A:$O,13,0))),0)</f>
        <v>#N/A</v>
      </c>
      <c r="F75" s="184" t="e">
        <f>ROUND((E$15-SUM(D$32:D74))*F$7*30/365,2)</f>
        <v>#N/A</v>
      </c>
      <c r="G75" s="258" t="e">
        <f t="shared" si="4"/>
        <v>#N/A</v>
      </c>
      <c r="H75" s="259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47287</v>
      </c>
      <c r="D76" s="31" t="e">
        <f>IF(B76&lt;$F$13,$G$16-E76-F76,IF(B76=$F$13,$E$15-SUM($D$31:D75),0))</f>
        <v>#N/A</v>
      </c>
      <c r="E76" s="32" t="e">
        <f>IF(B76&lt;=$F$13,(E$15*(VLOOKUP($H$2,Лист2!$A:$O,12,0)-(B76-1)*VLOOKUP($H$2,Лист2!$A:$O,13,0))),0)</f>
        <v>#N/A</v>
      </c>
      <c r="F76" s="184" t="e">
        <f>ROUND((E$15-SUM(D$32:D75))*F$7*30/365,2)</f>
        <v>#N/A</v>
      </c>
      <c r="G76" s="258" t="e">
        <f t="shared" si="4"/>
        <v>#N/A</v>
      </c>
      <c r="H76" s="259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47317</v>
      </c>
      <c r="D77" s="31" t="e">
        <f>IF(B77&lt;$F$13,$G$16-E77-F77,IF(B77=$F$13,$E$15-SUM($D$31:D76),0))</f>
        <v>#N/A</v>
      </c>
      <c r="E77" s="32" t="e">
        <f>IF(B77&lt;=$F$13,(E$15*(VLOOKUP($H$2,Лист2!$A:$O,12,0)-(B77-1)*VLOOKUP($H$2,Лист2!$A:$O,13,0))),0)</f>
        <v>#N/A</v>
      </c>
      <c r="F77" s="184" t="e">
        <f>ROUND((E$15-SUM(D$32:D76))*F$7*30/365,2)</f>
        <v>#N/A</v>
      </c>
      <c r="G77" s="258" t="e">
        <f t="shared" si="4"/>
        <v>#N/A</v>
      </c>
      <c r="H77" s="259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47348</v>
      </c>
      <c r="D78" s="31" t="e">
        <f>IF(B78&lt;$F$13,$G$16-E78-F78,IF(B78=$F$13,$E$15-SUM($D$31:D77),0))</f>
        <v>#N/A</v>
      </c>
      <c r="E78" s="32" t="e">
        <f>IF(B78&lt;=$F$13,(E$15*(VLOOKUP($H$2,Лист2!$A:$O,12,0)-(B78-1)*VLOOKUP($H$2,Лист2!$A:$O,13,0))),0)</f>
        <v>#N/A</v>
      </c>
      <c r="F78" s="184" t="e">
        <f>ROUND((E$15-SUM(D$32:D77))*F$7*30/365,2)</f>
        <v>#N/A</v>
      </c>
      <c r="G78" s="258" t="e">
        <f t="shared" si="4"/>
        <v>#N/A</v>
      </c>
      <c r="H78" s="259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47379</v>
      </c>
      <c r="D79" s="31" t="e">
        <f>IF(B79&lt;$F$13,$G$16-E79-F79,IF(B79=$F$13,$E$15-SUM($D$31:D78),0))</f>
        <v>#N/A</v>
      </c>
      <c r="E79" s="32" t="e">
        <f>IF(B79&lt;=$F$13,(E$15*(VLOOKUP($H$2,Лист2!$A:$O,12,0)-(B79-1)*VLOOKUP($H$2,Лист2!$A:$O,13,0))),0)</f>
        <v>#N/A</v>
      </c>
      <c r="F79" s="184" t="e">
        <f>ROUND((E$15-SUM(D$32:D78))*F$7*30/365,2)</f>
        <v>#N/A</v>
      </c>
      <c r="G79" s="258" t="e">
        <f t="shared" si="4"/>
        <v>#N/A</v>
      </c>
      <c r="H79" s="259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47409</v>
      </c>
      <c r="D80" s="31" t="e">
        <f>IF(B80&lt;$F$13,$G$16-E80-F80,IF(B80=$F$13,$E$15-SUM($D$31:D79),0))</f>
        <v>#N/A</v>
      </c>
      <c r="E80" s="32" t="e">
        <f>IF(B80&lt;=$F$13,(E$15*(VLOOKUP($H$2,Лист2!$A:$O,12,0)-(B80-1)*VLOOKUP($H$2,Лист2!$A:$O,13,0))),0)</f>
        <v>#N/A</v>
      </c>
      <c r="F80" s="184" t="e">
        <f>ROUND((E$15-SUM(D$32:D79))*F$7*30/365,2)</f>
        <v>#N/A</v>
      </c>
      <c r="G80" s="258" t="e">
        <f t="shared" si="4"/>
        <v>#N/A</v>
      </c>
      <c r="H80" s="259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47440</v>
      </c>
      <c r="D81" s="31" t="e">
        <f>IF(B81&lt;$F$13,$G$16-E81-F81,IF(B81=$F$13,$E$15-SUM($D$31:D80),0))</f>
        <v>#N/A</v>
      </c>
      <c r="E81" s="32" t="e">
        <f>IF(B81&lt;=$F$13,(E$15*(VLOOKUP($H$2,Лист2!$A:$O,12,0)-(B81-1)*VLOOKUP($H$2,Лист2!$A:$O,13,0))),0)</f>
        <v>#N/A</v>
      </c>
      <c r="F81" s="184" t="e">
        <f>ROUND((E$15-SUM(D$32:D80))*F$7*30/365,2)</f>
        <v>#N/A</v>
      </c>
      <c r="G81" s="258" t="e">
        <f t="shared" si="4"/>
        <v>#N/A</v>
      </c>
      <c r="H81" s="259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47470</v>
      </c>
      <c r="D82" s="31" t="e">
        <f>IF(B82&lt;$F$13,$G$16-E82-F82,IF(B82=$F$13,$E$15-SUM($D$31:D81),0))</f>
        <v>#N/A</v>
      </c>
      <c r="E82" s="32" t="e">
        <f>IF(B82&lt;=$F$13,(E$15*(VLOOKUP($H$2,Лист2!$A:$O,12,0)-(B82-1)*VLOOKUP($H$2,Лист2!$A:$O,13,0))),0)</f>
        <v>#N/A</v>
      </c>
      <c r="F82" s="184" t="e">
        <f>ROUND((E$15-SUM(D$32:D81))*F$7*30/365,2)</f>
        <v>#N/A</v>
      </c>
      <c r="G82" s="258" t="e">
        <f t="shared" si="4"/>
        <v>#N/A</v>
      </c>
      <c r="H82" s="259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47501</v>
      </c>
      <c r="D83" s="31" t="e">
        <f>IF(B83&lt;$F$13,$G$16-E83-F83,IF(B83=$F$13,$E$15-SUM($D$31:D82),0))</f>
        <v>#N/A</v>
      </c>
      <c r="E83" s="32" t="e">
        <f>IF(B83&lt;=$F$13,(E$15*(VLOOKUP($H$2,Лист2!$A:$O,12,0)-(B83-1)*VLOOKUP($H$2,Лист2!$A:$O,13,0))),0)</f>
        <v>#N/A</v>
      </c>
      <c r="F83" s="184" t="e">
        <f>ROUND((E$15-SUM(D$32:D82))*F$7*30/365,2)</f>
        <v>#N/A</v>
      </c>
      <c r="G83" s="258" t="e">
        <f t="shared" si="4"/>
        <v>#N/A</v>
      </c>
      <c r="H83" s="259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47532</v>
      </c>
      <c r="D84" s="31" t="e">
        <f>IF(B84&lt;$F$13,$G$16-E84-F84,IF(B84=$F$13,$E$15-SUM($D$31:D83),0))</f>
        <v>#N/A</v>
      </c>
      <c r="E84" s="32" t="e">
        <f>IF(B84&lt;=$F$13,(E$15*(VLOOKUP($H$2,Лист2!$A:$O,12,0)-(B84-1)*VLOOKUP($H$2,Лист2!$A:$O,13,0))),0)</f>
        <v>#N/A</v>
      </c>
      <c r="F84" s="184" t="e">
        <f>ROUND((E$15-SUM(D$32:D83))*F$7*30/365,2)</f>
        <v>#N/A</v>
      </c>
      <c r="G84" s="258" t="e">
        <f t="shared" si="4"/>
        <v>#N/A</v>
      </c>
      <c r="H84" s="259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47560</v>
      </c>
      <c r="D85" s="31" t="e">
        <f>IF(B85&lt;$F$13,$G$16-E85-F85,IF(B85=$F$13,$E$15-SUM($D$31:D84),0))</f>
        <v>#N/A</v>
      </c>
      <c r="E85" s="32" t="e">
        <f>IF(B85&lt;=$F$13,(E$15*(VLOOKUP($H$2,Лист2!$A:$O,12,0)-(B85-1)*VLOOKUP($H$2,Лист2!$A:$O,13,0))),0)</f>
        <v>#N/A</v>
      </c>
      <c r="F85" s="184" t="e">
        <f>ROUND((E$15-SUM(D$32:D84))*F$7*30/365,2)</f>
        <v>#N/A</v>
      </c>
      <c r="G85" s="258" t="e">
        <f t="shared" si="4"/>
        <v>#N/A</v>
      </c>
      <c r="H85" s="259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47591</v>
      </c>
      <c r="D86" s="31" t="e">
        <f>IF(B86&lt;$F$13,$G$16-E86-F86,IF(B86=$F$13,$E$15-SUM($D$31:D85),0))</f>
        <v>#N/A</v>
      </c>
      <c r="E86" s="32" t="e">
        <f>IF(B86&lt;=$F$13,(E$15*(VLOOKUP($H$2,Лист2!$A:$O,12,0)-(B86-1)*VLOOKUP($H$2,Лист2!$A:$O,13,0))),0)</f>
        <v>#N/A</v>
      </c>
      <c r="F86" s="184" t="e">
        <f>ROUND((E$15-SUM(D$32:D85))*F$7*30/365,2)</f>
        <v>#N/A</v>
      </c>
      <c r="G86" s="258" t="e">
        <f t="shared" si="4"/>
        <v>#N/A</v>
      </c>
      <c r="H86" s="259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47621</v>
      </c>
      <c r="D87" s="31" t="e">
        <f>IF(B87&lt;$F$13,$G$16-E87-F87,IF(B87=$F$13,$E$15-SUM($D$31:D86),0))</f>
        <v>#N/A</v>
      </c>
      <c r="E87" s="32" t="e">
        <f>IF(B87&lt;=$F$13,(E$15*(VLOOKUP($H$2,Лист2!$A:$O,12,0)-(B87-1)*VLOOKUP($H$2,Лист2!$A:$O,13,0))),0)</f>
        <v>#N/A</v>
      </c>
      <c r="F87" s="184" t="e">
        <f>ROUND((E$15-SUM(D$32:D86))*F$7*30/365,2)</f>
        <v>#N/A</v>
      </c>
      <c r="G87" s="258" t="e">
        <f t="shared" si="4"/>
        <v>#N/A</v>
      </c>
      <c r="H87" s="259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47652</v>
      </c>
      <c r="D88" s="31" t="e">
        <f>IF(B88&lt;$F$13,$G$16-E88-F88,IF(B88=$F$13,$E$15-SUM($D$31:D87),0))</f>
        <v>#N/A</v>
      </c>
      <c r="E88" s="32" t="e">
        <f>IF(B88&lt;=$F$13,(E$15*(VLOOKUP($H$2,Лист2!$A:$O,12,0)-(B88-1)*VLOOKUP($H$2,Лист2!$A:$O,13,0))),0)</f>
        <v>#N/A</v>
      </c>
      <c r="F88" s="184" t="e">
        <f>ROUND((E$15-SUM(D$32:D87))*F$7*30/365,2)</f>
        <v>#N/A</v>
      </c>
      <c r="G88" s="258" t="e">
        <f t="shared" si="4"/>
        <v>#N/A</v>
      </c>
      <c r="H88" s="259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47682</v>
      </c>
      <c r="D89" s="31" t="e">
        <f>IF(B89&lt;$F$13,$G$16-E89-F89,IF(B89=$F$13,$E$15-SUM($D$31:D88),0))</f>
        <v>#N/A</v>
      </c>
      <c r="E89" s="32" t="e">
        <f>IF(B89&lt;=$F$13,(E$15*(VLOOKUP($H$2,Лист2!$A:$O,12,0)-(B89-1)*VLOOKUP($H$2,Лист2!$A:$O,13,0))),0)</f>
        <v>#N/A</v>
      </c>
      <c r="F89" s="184" t="e">
        <f>ROUND((E$15-SUM(D$32:D88))*F$7*30/365,2)</f>
        <v>#N/A</v>
      </c>
      <c r="G89" s="258" t="e">
        <f t="shared" si="4"/>
        <v>#N/A</v>
      </c>
      <c r="H89" s="259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47713</v>
      </c>
      <c r="D90" s="31" t="e">
        <f>IF(B90&lt;$F$13,$G$16-E90-F90,IF(B90=$F$13,$E$15-SUM($D$31:D89),0))</f>
        <v>#N/A</v>
      </c>
      <c r="E90" s="32" t="e">
        <f>IF(B90&lt;=$F$13,(E$15*(VLOOKUP($H$2,Лист2!$A:$O,12,0)-(B90-1)*VLOOKUP($H$2,Лист2!$A:$O,13,0))),0)</f>
        <v>#N/A</v>
      </c>
      <c r="F90" s="184" t="e">
        <f>ROUND((E$15-SUM(D$32:D89))*F$7*30/365,2)</f>
        <v>#N/A</v>
      </c>
      <c r="G90" s="258" t="e">
        <f t="shared" si="4"/>
        <v>#N/A</v>
      </c>
      <c r="H90" s="259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47744</v>
      </c>
      <c r="D91" s="31" t="e">
        <f>IF(B91&lt;$F$13,$G$16-E91-F91,IF(B91=$F$13,$E$15-SUM($D$31:D90),0))</f>
        <v>#N/A</v>
      </c>
      <c r="E91" s="32" t="e">
        <f>IF(B91&lt;=$F$13,(E$15*(VLOOKUP($H$2,Лист2!$A:$O,12,0)-(B91-1)*VLOOKUP($H$2,Лист2!$A:$O,13,0))),0)</f>
        <v>#N/A</v>
      </c>
      <c r="F91" s="184" t="e">
        <f>ROUND((E$15-SUM(D$32:D90))*F$7*30/365,2)</f>
        <v>#N/A</v>
      </c>
      <c r="G91" s="274" t="e">
        <f t="shared" si="4"/>
        <v>#N/A</v>
      </c>
      <c r="H91" s="275"/>
      <c r="I91" s="134"/>
      <c r="J91" s="134"/>
    </row>
    <row r="92" spans="1:19" ht="16.5" thickBot="1" x14ac:dyDescent="0.25">
      <c r="A92" s="60"/>
      <c r="B92" s="269" t="s">
        <v>3</v>
      </c>
      <c r="C92" s="270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1" t="e">
        <f>SUM(G32:H91)</f>
        <v>#N/A</v>
      </c>
      <c r="H92" s="272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3" t="s">
        <v>5</v>
      </c>
      <c r="F94" s="273"/>
      <c r="G94" s="273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</mergeCells>
  <dataValidations count="1">
    <dataValidation type="list" allowBlank="1" showInputMessage="1" showErrorMessage="1" sqref="H2:I2" xr:uid="{00000000-0002-0000-0100-000000000000}">
      <formula1>$AA$15:$AA$21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7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18" sqref="F18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VLOOKUP('BIG CASH'!H2,Лист2!A:O,14,FALSE)</f>
        <v>#N/A</v>
      </c>
      <c r="F2" s="126" t="e">
        <f>VLOOKUP(H$2,Лист2!$A:$H,2,0)</f>
        <v>#N/A</v>
      </c>
      <c r="G2" s="185">
        <f ca="1">TODAY()</f>
        <v>45918</v>
      </c>
      <c r="H2" s="243" t="s">
        <v>67</v>
      </c>
      <c r="I2" s="244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  <c r="K3" s="4" t="e">
        <f>VLOOKUP(H2,Лист2!A:K,10,0)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46"/>
      <c r="G4" s="125"/>
      <c r="H4" s="39"/>
      <c r="I4" s="50"/>
      <c r="J4" s="50"/>
      <c r="AA4" s="69"/>
    </row>
    <row r="5" spans="1:45" ht="21" thickBot="1" x14ac:dyDescent="0.25">
      <c r="A5" s="1"/>
      <c r="B5" s="249" t="str">
        <f>Назви!A1</f>
        <v>Cash out, грн.</v>
      </c>
      <c r="C5" s="250"/>
      <c r="D5" s="250"/>
      <c r="E5" s="251"/>
      <c r="F5" s="118">
        <v>285713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IF($F5&lt;=VLOOKUP(M$3,Лист2!$A:$G,2,0),$F5,0)</f>
        <v>#N/A</v>
      </c>
      <c r="N5" s="73" t="e">
        <f>IF($F5&lt;=VLOOKUP(N$3,Лист2!$A:$G,2,0),$F5,0)</f>
        <v>#N/A</v>
      </c>
      <c r="O5" s="73" t="e">
        <f>IF($F5&lt;=VLOOKUP(O$3,Лист2!$A:$G,2,0),$F5,0)</f>
        <v>#N/A</v>
      </c>
      <c r="P5" s="73" t="e">
        <f>IF($F5&lt;=VLOOKUP(P$3,Лист2!$A:$G,2,0),$F5,0)</f>
        <v>#N/A</v>
      </c>
      <c r="Q5" s="73" t="e">
        <f>IF($F5&lt;=VLOOKUP(Q$3,Лист2!$A:$G,2,0),$F5,0)</f>
        <v>#N/A</v>
      </c>
      <c r="R5" s="73" t="e">
        <f>IF($F5&lt;=VLOOKUP(R$3,Лист2!$A:$G,2,0),$F5,0)</f>
        <v>#N/A</v>
      </c>
      <c r="S5" s="73" t="e">
        <f>IF($F5&lt;=VLOOKUP(S$3,Лист2!$A:$G,2,0),$F5,0)</f>
        <v>#N/A</v>
      </c>
      <c r="T5" s="73" t="e">
        <f>IF($F5&lt;=VLOOKUP(T$3,Лист2!$A:$G,2,0),$F5,0)</f>
        <v>#N/A</v>
      </c>
      <c r="U5" s="73" t="e">
        <f>IF($F5&lt;=VLOOKUP(U$3,Лист2!$A:$G,2,0),$F5,0)</f>
        <v>#N/A</v>
      </c>
      <c r="V5" s="73" t="e">
        <f>IF($F5&lt;=VLOOKUP(V$3,Лист2!$A:$G,2,0),$F5,0)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2" t="str">
        <f>Назви!A3</f>
        <v>Процентна ставка базова, % річних</v>
      </c>
      <c r="C7" s="253">
        <f>Назви!B3</f>
        <v>0</v>
      </c>
      <c r="D7" s="253">
        <f>Назви!C3</f>
        <v>0</v>
      </c>
      <c r="E7" s="254">
        <f>Назви!D3</f>
        <v>0</v>
      </c>
      <c r="F7" s="38" t="e">
        <f>VLOOKUP(H$2,Лист2!$A:$H,4,0)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VLOOKUP(H$2,Лист2!$A:$G,4,0)</f>
        <v>#N/A</v>
      </c>
      <c r="N7" s="68" t="e">
        <f>VLOOKUP(N$3,Лист2!$A:$G,4,0)</f>
        <v>#N/A</v>
      </c>
      <c r="O7" s="68" t="e">
        <f>VLOOKUP(O$3,Лист2!$A:$G,4,0)</f>
        <v>#N/A</v>
      </c>
      <c r="P7" s="68" t="e">
        <f>VLOOKUP(P$3,Лист2!$A:$G,4,0)</f>
        <v>#N/A</v>
      </c>
      <c r="Q7" s="68" t="e">
        <f>VLOOKUP(Q$3,Лист2!$A:$G,4,0)</f>
        <v>#N/A</v>
      </c>
      <c r="R7" s="68" t="e">
        <f>VLOOKUP(R$3,Лист2!$A:$G,4,0)</f>
        <v>#N/A</v>
      </c>
      <c r="S7" s="68" t="e">
        <f>VLOOKUP(S$3,Лист2!$A:$G,4,0)</f>
        <v>#N/A</v>
      </c>
      <c r="T7" s="68" t="e">
        <f>VLOOKUP(T$3,Лист2!$A:$G,4,0)</f>
        <v>#N/A</v>
      </c>
      <c r="U7" s="68" t="e">
        <f>VLOOKUP(U$3,Лист2!$A:$G,4,0)</f>
        <v>#N/A</v>
      </c>
      <c r="V7" s="68" t="e">
        <f>VLOOKUP(V$3,Лист2!$A:$G,4,0)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2" t="str">
        <f>Назви!A7</f>
        <v>Разовий страховий тариф, %</v>
      </c>
      <c r="C9" s="253">
        <f>Назви!B7</f>
        <v>0</v>
      </c>
      <c r="D9" s="253">
        <f>Назви!C7</f>
        <v>0</v>
      </c>
      <c r="E9" s="254">
        <f>Назви!D7</f>
        <v>0</v>
      </c>
      <c r="F9" s="38" t="e">
        <f>VLOOKUP(H$2,Лист2!$A:$H,5,0)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VLOOKUP(H$2,Лист2!$A:$G,5,0)</f>
        <v>#N/A</v>
      </c>
      <c r="N9" s="68" t="e">
        <f>VLOOKUP(N$3,Лист2!$A:$G,5,0)</f>
        <v>#N/A</v>
      </c>
      <c r="O9" s="68" t="e">
        <f>VLOOKUP(O$3,Лист2!$A:$G,5,0)</f>
        <v>#N/A</v>
      </c>
      <c r="P9" s="68" t="e">
        <f>VLOOKUP(P$3,Лист2!$A:$G,5,0)</f>
        <v>#N/A</v>
      </c>
      <c r="Q9" s="68" t="e">
        <f>VLOOKUP(Q$3,Лист2!$A:$G,5,0)</f>
        <v>#N/A</v>
      </c>
      <c r="R9" s="68" t="e">
        <f>VLOOKUP(R$3,Лист2!$A:$G,5,0)</f>
        <v>#N/A</v>
      </c>
      <c r="S9" s="68" t="e">
        <f>VLOOKUP(S$3,Лист2!$A:$G,5,0)</f>
        <v>#N/A</v>
      </c>
      <c r="T9" s="68" t="e">
        <f>VLOOKUP(T$3,Лист2!$A:$G,5,0)</f>
        <v>#N/A</v>
      </c>
      <c r="U9" s="68" t="e">
        <f>VLOOKUP(U$3,Лист2!$A:$G,5,0)</f>
        <v>#N/A</v>
      </c>
      <c r="V9" s="68" t="e">
        <f>VLOOKUP(V$3,Лист2!$A:$G,5,0)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2" t="str">
        <f>Назви!A9</f>
        <v xml:space="preserve">Щомісячна плата за обслуговування кредитної заборгованості, % </v>
      </c>
      <c r="C11" s="253">
        <f>Назви!B9</f>
        <v>0</v>
      </c>
      <c r="D11" s="253">
        <f>Назви!C9</f>
        <v>0</v>
      </c>
      <c r="E11" s="254">
        <f>Назви!D9</f>
        <v>0</v>
      </c>
      <c r="F11" s="38" t="e">
        <f>VLOOKUP(H$2,Лист2!$A:$H,6,0)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VLOOKUP(H$2,Лист2!$A:$G,6,0)</f>
        <v>#N/A</v>
      </c>
      <c r="N11" s="68" t="e">
        <f>VLOOKUP(N$3,Лист2!$A:$G,6,0)</f>
        <v>#N/A</v>
      </c>
      <c r="O11" s="68" t="e">
        <f>VLOOKUP(O$3,Лист2!$A:$G,6,0)</f>
        <v>#N/A</v>
      </c>
      <c r="P11" s="68" t="e">
        <f>VLOOKUP(P$3,Лист2!$A:$G,6,0)</f>
        <v>#N/A</v>
      </c>
      <c r="Q11" s="68" t="e">
        <f>VLOOKUP(Q$3,Лист2!$A:$G,6,0)</f>
        <v>#N/A</v>
      </c>
      <c r="R11" s="68" t="e">
        <f>VLOOKUP(R$3,Лист2!$A:$G,6,0)</f>
        <v>#N/A</v>
      </c>
      <c r="S11" s="68" t="e">
        <f>VLOOKUP(S$3,Лист2!$A:$G,6,0)</f>
        <v>#N/A</v>
      </c>
      <c r="T11" s="68" t="e">
        <f>VLOOKUP(T$3,Лист2!$A:$G,6,0)</f>
        <v>#N/A</v>
      </c>
      <c r="U11" s="68" t="e">
        <f>VLOOKUP(U$3,Лист2!$A:$G,6,0)</f>
        <v>#N/A</v>
      </c>
      <c r="V11" s="68" t="e">
        <f>VLOOKUP(V$3,Лист2!$A:$G,6,0)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2" t="str">
        <f>Назви!A11</f>
        <v>Термін кредитування (міс.)</v>
      </c>
      <c r="C13" s="253">
        <f>Назви!B11</f>
        <v>0</v>
      </c>
      <c r="D13" s="253">
        <f>Назви!C11</f>
        <v>0</v>
      </c>
      <c r="E13" s="254">
        <f>Назви!D11</f>
        <v>0</v>
      </c>
      <c r="F13" s="64" t="e">
        <f>VLOOKUP(H$2,Лист2!$A:$H,3,0)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VLOOKUP(M$3,Лист2!$A:$G,3,0)</f>
        <v>#N/A</v>
      </c>
      <c r="N13" s="74" t="e">
        <f>VLOOKUP(N$3,Лист2!$A:$G,3,0)</f>
        <v>#N/A</v>
      </c>
      <c r="O13" s="74" t="e">
        <f>VLOOKUP(O$3,Лист2!$A:$G,3,0)</f>
        <v>#N/A</v>
      </c>
      <c r="P13" s="74" t="e">
        <f>VLOOKUP(P$3,Лист2!$A:$G,3,0)</f>
        <v>#N/A</v>
      </c>
      <c r="Q13" s="74" t="e">
        <f>VLOOKUP(Q$3,Лист2!$A:$G,3,0)</f>
        <v>#N/A</v>
      </c>
      <c r="R13" s="74" t="e">
        <f>VLOOKUP(R$3,Лист2!$A:$G,3,0)</f>
        <v>#N/A</v>
      </c>
      <c r="S13" s="74" t="e">
        <f>VLOOKUP(S$3,Лист2!$A:$G,3,0)</f>
        <v>#N/A</v>
      </c>
      <c r="T13" s="74" t="e">
        <f>VLOOKUP(T$3,Лист2!$A:$G,3,0)</f>
        <v>#N/A</v>
      </c>
      <c r="U13" s="74" t="e">
        <f>VLOOKUP(U$3,Лист2!$A:$G,3,0)</f>
        <v>#N/A</v>
      </c>
      <c r="V13" s="74" t="e">
        <f>VLOOKUP(V$3,Лист2!$A:$G,3,0)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55" t="str">
        <f>Назви!A14</f>
        <v>Орієнтовний платіж, грн.</v>
      </c>
      <c r="C16" s="256">
        <f>Назви!B14</f>
        <v>0</v>
      </c>
      <c r="D16" s="256">
        <f>Назви!C14</f>
        <v>0</v>
      </c>
      <c r="E16" s="257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55" t="str">
        <f>Назви!A16</f>
        <v>Орієнтовні загальні витрати за кредитом, грн.</v>
      </c>
      <c r="C18" s="256">
        <f>Назви!B16</f>
        <v>0</v>
      </c>
      <c r="D18" s="256">
        <f>Назви!C16</f>
        <v>0</v>
      </c>
      <c r="E18" s="257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55" t="str">
        <f>Назви!A18</f>
        <v>Орієнтовна загальна вартість кредиту, грн.</v>
      </c>
      <c r="C20" s="256">
        <f>Назви!B18</f>
        <v>0</v>
      </c>
      <c r="D20" s="256">
        <f>Назви!C18</f>
        <v>0</v>
      </c>
      <c r="E20" s="257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1" t="str">
        <f>Назви!A22</f>
        <v>Інший термін</v>
      </c>
      <c r="C22" s="242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0" t="s">
        <v>36</v>
      </c>
      <c r="C23" s="261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0" t="s">
        <v>37</v>
      </c>
      <c r="C24" s="261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0" t="s">
        <v>8</v>
      </c>
      <c r="C25" s="261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0"/>
      <c r="C26" s="261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2" t="str">
        <f>Назви!A29</f>
        <v>Орієнтовний порядок повернення кредиту</v>
      </c>
      <c r="C29" s="263"/>
      <c r="D29" s="263"/>
      <c r="E29" s="263"/>
      <c r="F29" s="263"/>
      <c r="G29" s="263"/>
      <c r="H29" s="264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11.25" customHeight="1" thickBot="1" x14ac:dyDescent="0.25">
      <c r="A30" s="1"/>
      <c r="B30" s="265" t="str">
        <f>Назви!A30</f>
        <v>Місяць</v>
      </c>
      <c r="C30" s="266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5" t="str">
        <f>Назви!F30</f>
        <v>Сума платежу за розрахунковий період, грн.</v>
      </c>
      <c r="H30" s="266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1.5" customHeight="1" thickBot="1" x14ac:dyDescent="0.25">
      <c r="A31" s="1"/>
      <c r="B31" s="112">
        <v>0</v>
      </c>
      <c r="C31" s="131">
        <f ca="1">TODAY()</f>
        <v>45918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ht="11.25" customHeight="1" x14ac:dyDescent="0.2">
      <c r="A32" s="1">
        <v>1</v>
      </c>
      <c r="B32" s="129">
        <v>1</v>
      </c>
      <c r="C32" s="136">
        <f ca="1">DATE(YEAR(C31),MONTH(C31)+1,DAY(C31))</f>
        <v>45948</v>
      </c>
      <c r="D32" s="137" t="e">
        <f>IF(B32&lt;$F$13,$G$16-E32-F32,IF(B32=$F$13,$E$15-SUM($D$31:D31),0))</f>
        <v>#N/A</v>
      </c>
      <c r="E32" s="138" t="e">
        <f>IF(B32&lt;=$F$13,(E$15*(VLOOKUP($H$2,Лист2!$A:$O,12,0)-(B32-1)*VLOOKUP($H$2,Лист2!$A:$O,13,0))),0)</f>
        <v>#N/A</v>
      </c>
      <c r="F32" s="138" t="e">
        <f>ROUND(E$15*F$7*30/365,2)</f>
        <v>#N/A</v>
      </c>
      <c r="G32" s="267" t="e">
        <f t="shared" ref="G32:G43" si="4">D32+E32+F32</f>
        <v>#N/A</v>
      </c>
      <c r="H32" s="268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45979</v>
      </c>
      <c r="D33" s="31" t="e">
        <f>IF(B33&lt;$F$13,$G$16-E33-F33,IF(B33=$F$13,$E$15-SUM($D$31:D32),0))</f>
        <v>#N/A</v>
      </c>
      <c r="E33" s="32" t="e">
        <f>IF(B33&lt;=$F$13,(E$15*(VLOOKUP($H$2,Лист2!$A:$O,12,0)-(B33-1)*VLOOKUP($H$2,Лист2!$A:$O,13,0))),0)</f>
        <v>#N/A</v>
      </c>
      <c r="F33" s="184" t="e">
        <f>ROUND((E$15-SUM(D$32:D32))*F$7*30/365,2)</f>
        <v>#N/A</v>
      </c>
      <c r="G33" s="258" t="e">
        <f t="shared" si="4"/>
        <v>#N/A</v>
      </c>
      <c r="H33" s="259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46009</v>
      </c>
      <c r="D34" s="31" t="e">
        <f>IF(B34&lt;$F$13,$G$16-E34-F34,IF(B34=$F$13,$E$15-SUM($D$31:D33),0))</f>
        <v>#N/A</v>
      </c>
      <c r="E34" s="32" t="e">
        <f>IF(B34&lt;=$F$13,(E$15*(VLOOKUP($H$2,Лист2!$A:$O,12,0)-(B34-1)*VLOOKUP($H$2,Лист2!$A:$O,13,0))),0)</f>
        <v>#N/A</v>
      </c>
      <c r="F34" s="184" t="e">
        <f>ROUND((E$15-SUM(D$32:D33))*F$7*30/365,2)</f>
        <v>#N/A</v>
      </c>
      <c r="G34" s="258" t="e">
        <f t="shared" si="4"/>
        <v>#N/A</v>
      </c>
      <c r="H34" s="259"/>
      <c r="I34" s="3"/>
      <c r="K34" s="55"/>
      <c r="L34" s="55"/>
      <c r="M34" s="55"/>
      <c r="N34" s="55"/>
      <c r="O34" s="55"/>
      <c r="P34" s="55"/>
      <c r="Q34" s="55"/>
      <c r="R34" s="55"/>
      <c r="S34" s="55"/>
    </row>
    <row r="35" spans="1:27" x14ac:dyDescent="0.2">
      <c r="A35" s="1">
        <v>4</v>
      </c>
      <c r="B35" s="128">
        <v>4</v>
      </c>
      <c r="C35" s="132">
        <f t="shared" ca="1" si="5"/>
        <v>46040</v>
      </c>
      <c r="D35" s="31" t="e">
        <f>IF(B35&lt;$F$13,$G$16-E35-F35,IF(B35=$F$13,$E$15-SUM($D$31:D34),0))</f>
        <v>#N/A</v>
      </c>
      <c r="E35" s="32" t="e">
        <f>IF(B35&lt;=$F$13,(E$15*(VLOOKUP($H$2,Лист2!$A:$O,12,0)-(B35-1)*VLOOKUP($H$2,Лист2!$A:$O,13,0))),0)</f>
        <v>#N/A</v>
      </c>
      <c r="F35" s="184" t="e">
        <f>ROUND((E$15-SUM(D$32:D34))*F$7*30/365,2)</f>
        <v>#N/A</v>
      </c>
      <c r="G35" s="258" t="e">
        <f t="shared" si="4"/>
        <v>#N/A</v>
      </c>
      <c r="H35" s="259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46071</v>
      </c>
      <c r="D36" s="31" t="e">
        <f>IF(B36&lt;$F$13,$G$16-E36-F36,IF(B36=$F$13,$E$15-SUM($D$31:D35),0))</f>
        <v>#N/A</v>
      </c>
      <c r="E36" s="32" t="e">
        <f>IF(B36&lt;=$F$13,(E$15*(VLOOKUP($H$2,Лист2!$A:$O,12,0)-(B36-1)*VLOOKUP($H$2,Лист2!$A:$O,13,0))),0)</f>
        <v>#N/A</v>
      </c>
      <c r="F36" s="184" t="e">
        <f>ROUND((E$15-SUM(D$32:D35))*F$7*30/365,2)</f>
        <v>#N/A</v>
      </c>
      <c r="G36" s="258" t="e">
        <f t="shared" si="4"/>
        <v>#N/A</v>
      </c>
      <c r="H36" s="259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46099</v>
      </c>
      <c r="D37" s="31" t="e">
        <f>IF(B37&lt;$F$13,$G$16-E37-F37,IF(B37=$F$13,$E$15-SUM($D$31:D36),0))</f>
        <v>#N/A</v>
      </c>
      <c r="E37" s="32" t="e">
        <f>IF(B37&lt;=$F$13,(E$15*(VLOOKUP($H$2,Лист2!$A:$O,12,0)-(B37-1)*VLOOKUP($H$2,Лист2!$A:$O,13,0))),0)</f>
        <v>#N/A</v>
      </c>
      <c r="F37" s="184" t="e">
        <f>ROUND((E$15-SUM(D$32:D36))*F$7*30/365,2)</f>
        <v>#N/A</v>
      </c>
      <c r="G37" s="258" t="e">
        <f t="shared" si="4"/>
        <v>#N/A</v>
      </c>
      <c r="H37" s="259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46130</v>
      </c>
      <c r="D38" s="31" t="e">
        <f>IF(B38&lt;$F$13,$G$16-E38-F38,IF(B38=$F$13,$E$15-SUM($D$31:D37),0))</f>
        <v>#N/A</v>
      </c>
      <c r="E38" s="32" t="e">
        <f>IF(B38&lt;=$F$13,(E$15*(VLOOKUP($H$2,Лист2!$A:$O,12,0)-(B38-1)*VLOOKUP($H$2,Лист2!$A:$O,13,0))),0)</f>
        <v>#N/A</v>
      </c>
      <c r="F38" s="184" t="e">
        <f>ROUND((E$15-SUM(D$32:D37))*F$7*30/365,2)</f>
        <v>#N/A</v>
      </c>
      <c r="G38" s="258" t="e">
        <f t="shared" si="4"/>
        <v>#N/A</v>
      </c>
      <c r="H38" s="259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46160</v>
      </c>
      <c r="D39" s="31" t="e">
        <f>IF(B39&lt;$F$13,$G$16-E39-F39,IF(B39=$F$13,$E$15-SUM($D$31:D38),0))</f>
        <v>#N/A</v>
      </c>
      <c r="E39" s="32" t="e">
        <f>IF(B39&lt;=$F$13,(E$15*(VLOOKUP($H$2,Лист2!$A:$O,12,0)-(B39-1)*VLOOKUP($H$2,Лист2!$A:$O,13,0))),0)</f>
        <v>#N/A</v>
      </c>
      <c r="F39" s="184" t="e">
        <f>ROUND((E$15-SUM(D$32:D38))*F$7*30/365,2)</f>
        <v>#N/A</v>
      </c>
      <c r="G39" s="258" t="e">
        <f t="shared" si="4"/>
        <v>#N/A</v>
      </c>
      <c r="H39" s="259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46191</v>
      </c>
      <c r="D40" s="31" t="e">
        <f>IF(B40&lt;$F$13,$G$16-E40-F40,IF(B40=$F$13,$E$15-SUM($D$31:D39),0))</f>
        <v>#N/A</v>
      </c>
      <c r="E40" s="32" t="e">
        <f>IF(B40&lt;=$F$13,(E$15*(VLOOKUP($H$2,Лист2!$A:$O,12,0)-(B40-1)*VLOOKUP($H$2,Лист2!$A:$O,13,0))),0)</f>
        <v>#N/A</v>
      </c>
      <c r="F40" s="184" t="e">
        <f>ROUND((E$15-SUM(D$32:D39))*F$7*30/365,2)</f>
        <v>#N/A</v>
      </c>
      <c r="G40" s="258" t="e">
        <f t="shared" si="4"/>
        <v>#N/A</v>
      </c>
      <c r="H40" s="259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46221</v>
      </c>
      <c r="D41" s="31" t="e">
        <f>IF(B41&lt;$F$13,$G$16-E41-F41,IF(B41=$F$13,$E$15-SUM($D$31:D40),0))</f>
        <v>#N/A</v>
      </c>
      <c r="E41" s="32" t="e">
        <f>IF(B41&lt;=$F$13,(E$15*(VLOOKUP($H$2,Лист2!$A:$O,12,0)-(B41-1)*VLOOKUP($H$2,Лист2!$A:$O,13,0))),0)</f>
        <v>#N/A</v>
      </c>
      <c r="F41" s="184" t="e">
        <f>ROUND((E$15-SUM(D$32:D40))*F$7*30/365,2)</f>
        <v>#N/A</v>
      </c>
      <c r="G41" s="258" t="e">
        <f t="shared" si="4"/>
        <v>#N/A</v>
      </c>
      <c r="H41" s="259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46252</v>
      </c>
      <c r="D42" s="31" t="e">
        <f>IF(B42&lt;$F$13,$G$16-E42-F42,IF(B42=$F$13,$E$15-SUM($D$31:D41),0))</f>
        <v>#N/A</v>
      </c>
      <c r="E42" s="32" t="e">
        <f>IF(B42&lt;=$F$13,(E$15*(VLOOKUP($H$2,Лист2!$A:$O,12,0)-(B42-1)*VLOOKUP($H$2,Лист2!$A:$O,13,0))),0)</f>
        <v>#N/A</v>
      </c>
      <c r="F42" s="184" t="e">
        <f>ROUND((E$15-SUM(D$32:D41))*F$7*30/365,2)</f>
        <v>#N/A</v>
      </c>
      <c r="G42" s="258" t="e">
        <f t="shared" si="4"/>
        <v>#N/A</v>
      </c>
      <c r="H42" s="259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46283</v>
      </c>
      <c r="D43" s="31" t="e">
        <f>IF(B43&lt;$F$13,$G$16-E43-F43,IF(B43=$F$13,$E$15-SUM($D$31:D42),0))</f>
        <v>#N/A</v>
      </c>
      <c r="E43" s="32" t="e">
        <f>IF(B43&lt;=$F$13,(E$15*(VLOOKUP($H$2,Лист2!$A:$O,12,0)-(B43-1)*VLOOKUP($H$2,Лист2!$A:$O,13,0))),0)</f>
        <v>#N/A</v>
      </c>
      <c r="F43" s="184" t="e">
        <f>ROUND((E$15-SUM(D$32:D42))*F$7*30/365,2)</f>
        <v>#N/A</v>
      </c>
      <c r="G43" s="258" t="e">
        <f t="shared" si="4"/>
        <v>#N/A</v>
      </c>
      <c r="H43" s="259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46313</v>
      </c>
      <c r="D44" s="31" t="e">
        <f>IF(B44&lt;$F$13,$G$16-E44-F44,IF(B44=$F$13,$E$15-SUM($D$31:D43),0))</f>
        <v>#N/A</v>
      </c>
      <c r="E44" s="32" t="e">
        <f>IF(B44&lt;=$F$13,(E$15*(VLOOKUP($H$2,Лист2!$A:$O,12,0)-(B44-1)*VLOOKUP($H$2,Лист2!$A:$O,13,0))),0)</f>
        <v>#N/A</v>
      </c>
      <c r="F44" s="184" t="e">
        <f>ROUND((E$15-SUM(D$32:D43))*F$7*30/365,2)</f>
        <v>#N/A</v>
      </c>
      <c r="G44" s="258" t="e">
        <f t="shared" ref="G44:G61" si="6">D44+E44+F44</f>
        <v>#N/A</v>
      </c>
      <c r="H44" s="259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46344</v>
      </c>
      <c r="D45" s="31" t="e">
        <f>IF(B45&lt;$F$13,$G$16-E45-F45,IF(B45=$F$13,$E$15-SUM($D$31:D44),0))</f>
        <v>#N/A</v>
      </c>
      <c r="E45" s="32" t="e">
        <f>IF(B45&lt;=$F$13,(E$15*(VLOOKUP($H$2,Лист2!$A:$O,12,0)-(B45-1)*VLOOKUP($H$2,Лист2!$A:$O,13,0))),0)</f>
        <v>#N/A</v>
      </c>
      <c r="F45" s="184" t="e">
        <f>ROUND((E$15-SUM(D$32:D44))*F$7*30/365,2)</f>
        <v>#N/A</v>
      </c>
      <c r="G45" s="258" t="e">
        <f t="shared" si="6"/>
        <v>#N/A</v>
      </c>
      <c r="H45" s="259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46374</v>
      </c>
      <c r="D46" s="31" t="e">
        <f>IF(B46&lt;$F$13,$G$16-E46-F46,IF(B46=$F$13,$E$15-SUM($D$31:D45),0))</f>
        <v>#N/A</v>
      </c>
      <c r="E46" s="32" t="e">
        <f>IF(B46&lt;=$F$13,(E$15*(VLOOKUP($H$2,Лист2!$A:$O,12,0)-(B46-1)*VLOOKUP($H$2,Лист2!$A:$O,13,0))),0)</f>
        <v>#N/A</v>
      </c>
      <c r="F46" s="184" t="e">
        <f>ROUND((E$15-SUM(D$32:D45))*F$7*30/365,2)</f>
        <v>#N/A</v>
      </c>
      <c r="G46" s="258" t="e">
        <f t="shared" si="6"/>
        <v>#N/A</v>
      </c>
      <c r="H46" s="259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46405</v>
      </c>
      <c r="D47" s="31" t="e">
        <f>IF(B47&lt;$F$13,$G$16-E47-F47,IF(B47=$F$13,$E$15-SUM($D$31:D46),0))</f>
        <v>#N/A</v>
      </c>
      <c r="E47" s="32" t="e">
        <f>IF(B47&lt;=$F$13,(E$15*(VLOOKUP($H$2,Лист2!$A:$O,12,0)-(B47-1)*VLOOKUP($H$2,Лист2!$A:$O,13,0))),0)</f>
        <v>#N/A</v>
      </c>
      <c r="F47" s="184" t="e">
        <f>ROUND((E$15-SUM(D$32:D46))*F$7*30/365,2)</f>
        <v>#N/A</v>
      </c>
      <c r="G47" s="258" t="e">
        <f t="shared" si="6"/>
        <v>#N/A</v>
      </c>
      <c r="H47" s="259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46436</v>
      </c>
      <c r="D48" s="31" t="e">
        <f>IF(B48&lt;$F$13,$G$16-E48-F48,IF(B48=$F$13,$E$15-SUM($D$31:D47),0))</f>
        <v>#N/A</v>
      </c>
      <c r="E48" s="32" t="e">
        <f>IF(B48&lt;=$F$13,(E$15*(VLOOKUP($H$2,Лист2!$A:$O,12,0)-(B48-1)*VLOOKUP($H$2,Лист2!$A:$O,13,0))),0)</f>
        <v>#N/A</v>
      </c>
      <c r="F48" s="184" t="e">
        <f>ROUND((E$15-SUM(D$32:D47))*F$7*30/365,2)</f>
        <v>#N/A</v>
      </c>
      <c r="G48" s="258" t="e">
        <f t="shared" si="6"/>
        <v>#N/A</v>
      </c>
      <c r="H48" s="259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46464</v>
      </c>
      <c r="D49" s="31" t="e">
        <f>IF(B49&lt;$F$13,$G$16-E49-F49,IF(B49=$F$13,$E$15-SUM($D$31:D48),0))</f>
        <v>#N/A</v>
      </c>
      <c r="E49" s="32" t="e">
        <f>IF(B49&lt;=$F$13,(E$15*(VLOOKUP($H$2,Лист2!$A:$O,12,0)-(B49-1)*VLOOKUP($H$2,Лист2!$A:$O,13,0))),0)</f>
        <v>#N/A</v>
      </c>
      <c r="F49" s="184" t="e">
        <f>ROUND((E$15-SUM(D$32:D48))*F$7*30/365,2)</f>
        <v>#N/A</v>
      </c>
      <c r="G49" s="258" t="e">
        <f t="shared" si="6"/>
        <v>#N/A</v>
      </c>
      <c r="H49" s="259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46495</v>
      </c>
      <c r="D50" s="31" t="e">
        <f>IF(B50&lt;$F$13,$G$16-E50-F50,IF(B50=$F$13,$E$15-SUM($D$31:D49),0))</f>
        <v>#N/A</v>
      </c>
      <c r="E50" s="32" t="e">
        <f>IF(B50&lt;=$F$13,(E$15*(VLOOKUP($H$2,Лист2!$A:$O,12,0)-(B50-1)*VLOOKUP($H$2,Лист2!$A:$O,13,0))),0)</f>
        <v>#N/A</v>
      </c>
      <c r="F50" s="184" t="e">
        <f>ROUND((E$15-SUM(D$32:D49))*F$7*30/365,2)</f>
        <v>#N/A</v>
      </c>
      <c r="G50" s="258" t="e">
        <f t="shared" si="6"/>
        <v>#N/A</v>
      </c>
      <c r="H50" s="259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46525</v>
      </c>
      <c r="D51" s="31" t="e">
        <f>IF(B51&lt;$F$13,$G$16-E51-F51,IF(B51=$F$13,$E$15-SUM($D$31:D50),0))</f>
        <v>#N/A</v>
      </c>
      <c r="E51" s="32" t="e">
        <f>IF(B51&lt;=$F$13,(E$15*(VLOOKUP($H$2,Лист2!$A:$O,12,0)-(B51-1)*VLOOKUP($H$2,Лист2!$A:$O,13,0))),0)</f>
        <v>#N/A</v>
      </c>
      <c r="F51" s="184" t="e">
        <f>ROUND((E$15-SUM(D$32:D50))*F$7*30/365,2)</f>
        <v>#N/A</v>
      </c>
      <c r="G51" s="258" t="e">
        <f t="shared" si="6"/>
        <v>#N/A</v>
      </c>
      <c r="H51" s="259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46556</v>
      </c>
      <c r="D52" s="31" t="e">
        <f>IF(B52&lt;$F$13,$G$16-E52-F52,IF(B52=$F$13,$E$15-SUM($D$31:D51),0))</f>
        <v>#N/A</v>
      </c>
      <c r="E52" s="32" t="e">
        <f>IF(B52&lt;=$F$13,(E$15*(VLOOKUP($H$2,Лист2!$A:$O,12,0)-(B52-1)*VLOOKUP($H$2,Лист2!$A:$O,13,0))),0)</f>
        <v>#N/A</v>
      </c>
      <c r="F52" s="184" t="e">
        <f>ROUND((E$15-SUM(D$32:D51))*F$7*30/365,2)</f>
        <v>#N/A</v>
      </c>
      <c r="G52" s="258" t="e">
        <f t="shared" si="6"/>
        <v>#N/A</v>
      </c>
      <c r="H52" s="259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46586</v>
      </c>
      <c r="D53" s="31" t="e">
        <f>IF(B53&lt;$F$13,$G$16-E53-F53,IF(B53=$F$13,$E$15-SUM($D$31:D52),0))</f>
        <v>#N/A</v>
      </c>
      <c r="E53" s="32" t="e">
        <f>IF(B53&lt;=$F$13,(E$15*(VLOOKUP($H$2,Лист2!$A:$O,12,0)-(B53-1)*VLOOKUP($H$2,Лист2!$A:$O,13,0))),0)</f>
        <v>#N/A</v>
      </c>
      <c r="F53" s="184" t="e">
        <f>ROUND((E$15-SUM(D$32:D52))*F$7*30/365,2)</f>
        <v>#N/A</v>
      </c>
      <c r="G53" s="258" t="e">
        <f t="shared" si="6"/>
        <v>#N/A</v>
      </c>
      <c r="H53" s="259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46617</v>
      </c>
      <c r="D54" s="31" t="e">
        <f>IF(B54&lt;$F$13,$G$16-E54-F54,IF(B54=$F$13,$E$15-SUM($D$31:D53),0))</f>
        <v>#N/A</v>
      </c>
      <c r="E54" s="32" t="e">
        <f>IF(B54&lt;=$F$13,(E$15*(VLOOKUP($H$2,Лист2!$A:$O,12,0)-(B54-1)*VLOOKUP($H$2,Лист2!$A:$O,13,0))),0)</f>
        <v>#N/A</v>
      </c>
      <c r="F54" s="184" t="e">
        <f>ROUND((E$15-SUM(D$32:D53))*F$7*30/365,2)</f>
        <v>#N/A</v>
      </c>
      <c r="G54" s="258" t="e">
        <f t="shared" si="6"/>
        <v>#N/A</v>
      </c>
      <c r="H54" s="259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46648</v>
      </c>
      <c r="D55" s="31" t="e">
        <f>IF(B55&lt;$F$13,$G$16-E55-F55,IF(B55=$F$13,$E$15-SUM($D$31:D54),0))</f>
        <v>#N/A</v>
      </c>
      <c r="E55" s="32" t="e">
        <f>IF(B55&lt;=$F$13,(E$15*(VLOOKUP($H$2,Лист2!$A:$O,12,0)-(B55-1)*VLOOKUP($H$2,Лист2!$A:$O,13,0))),0)</f>
        <v>#N/A</v>
      </c>
      <c r="F55" s="184" t="e">
        <f>ROUND((E$15-SUM(D$32:D54))*F$7*30/365,2)</f>
        <v>#N/A</v>
      </c>
      <c r="G55" s="258" t="e">
        <f t="shared" si="6"/>
        <v>#N/A</v>
      </c>
      <c r="H55" s="259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46678</v>
      </c>
      <c r="D56" s="31" t="e">
        <f>IF(B56&lt;$F$13,$G$16-E56-F56,IF(B56=$F$13,$E$15-SUM($D$31:D55),0))</f>
        <v>#N/A</v>
      </c>
      <c r="E56" s="32" t="e">
        <f>IF(B56&lt;=$F$13,(E$15*(VLOOKUP($H$2,Лист2!$A:$O,12,0)-(B56-1)*VLOOKUP($H$2,Лист2!$A:$O,13,0))),0)</f>
        <v>#N/A</v>
      </c>
      <c r="F56" s="184" t="e">
        <f>ROUND((E$15-SUM(D$32:D55))*F$7*30/365,2)</f>
        <v>#N/A</v>
      </c>
      <c r="G56" s="258" t="e">
        <f t="shared" si="6"/>
        <v>#N/A</v>
      </c>
      <c r="H56" s="259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46709</v>
      </c>
      <c r="D57" s="31" t="e">
        <f>IF(B57&lt;$F$13,$G$16-E57-F57,IF(B57=$F$13,$E$15-SUM($D$31:D56),0))</f>
        <v>#N/A</v>
      </c>
      <c r="E57" s="32" t="e">
        <f>IF(B57&lt;=$F$13,(E$15*(VLOOKUP($H$2,Лист2!$A:$O,12,0)-(B57-1)*VLOOKUP($H$2,Лист2!$A:$O,13,0))),0)</f>
        <v>#N/A</v>
      </c>
      <c r="F57" s="184" t="e">
        <f>ROUND((E$15-SUM(D$32:D56))*F$7*30/365,2)</f>
        <v>#N/A</v>
      </c>
      <c r="G57" s="258" t="e">
        <f t="shared" si="6"/>
        <v>#N/A</v>
      </c>
      <c r="H57" s="259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46739</v>
      </c>
      <c r="D58" s="31" t="e">
        <f>IF(B58&lt;$F$13,$G$16-E58-F58,IF(B58=$F$13,$E$15-SUM($D$31:D57),0))</f>
        <v>#N/A</v>
      </c>
      <c r="E58" s="32" t="e">
        <f>IF(B58&lt;=$F$13,(E$15*(VLOOKUP($H$2,Лист2!$A:$O,12,0)-(B58-1)*VLOOKUP($H$2,Лист2!$A:$O,13,0))),0)</f>
        <v>#N/A</v>
      </c>
      <c r="F58" s="184" t="e">
        <f>ROUND((E$15-SUM(D$32:D57))*F$7*30/365,2)</f>
        <v>#N/A</v>
      </c>
      <c r="G58" s="258" t="e">
        <f t="shared" si="6"/>
        <v>#N/A</v>
      </c>
      <c r="H58" s="259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46770</v>
      </c>
      <c r="D59" s="31" t="e">
        <f>IF(B59&lt;$F$13,$G$16-E59-F59,IF(B59=$F$13,$E$15-SUM($D$31:D58),0))</f>
        <v>#N/A</v>
      </c>
      <c r="E59" s="32" t="e">
        <f>IF(B59&lt;=$F$13,(E$15*(VLOOKUP($H$2,Лист2!$A:$O,12,0)-(B59-1)*VLOOKUP($H$2,Лист2!$A:$O,13,0))),0)</f>
        <v>#N/A</v>
      </c>
      <c r="F59" s="184" t="e">
        <f>ROUND((E$15-SUM(D$32:D58))*F$7*30/365,2)</f>
        <v>#N/A</v>
      </c>
      <c r="G59" s="258" t="e">
        <f t="shared" si="6"/>
        <v>#N/A</v>
      </c>
      <c r="H59" s="259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46801</v>
      </c>
      <c r="D60" s="31" t="e">
        <f>IF(B60&lt;$F$13,$G$16-E60-F60,IF(B60=$F$13,$E$15-SUM($D$31:D59),0))</f>
        <v>#N/A</v>
      </c>
      <c r="E60" s="32" t="e">
        <f>IF(B60&lt;=$F$13,(E$15*(VLOOKUP($H$2,Лист2!$A:$O,12,0)-(B60-1)*VLOOKUP($H$2,Лист2!$A:$O,13,0))),0)</f>
        <v>#N/A</v>
      </c>
      <c r="F60" s="184" t="e">
        <f>ROUND((E$15-SUM(D$32:D59))*F$7*30/365,2)</f>
        <v>#N/A</v>
      </c>
      <c r="G60" s="258" t="e">
        <f t="shared" si="6"/>
        <v>#N/A</v>
      </c>
      <c r="H60" s="259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46830</v>
      </c>
      <c r="D61" s="31" t="e">
        <f>IF(B61&lt;$F$13,$G$16-E61-F61,IF(B61=$F$13,$E$15-SUM($D$31:D60),0))</f>
        <v>#N/A</v>
      </c>
      <c r="E61" s="32" t="e">
        <f>IF(B61&lt;=$F$13,(E$15*(VLOOKUP($H$2,Лист2!$A:$O,12,0)-(B61-1)*VLOOKUP($H$2,Лист2!$A:$O,13,0))),0)</f>
        <v>#N/A</v>
      </c>
      <c r="F61" s="184" t="e">
        <f>ROUND((E$15-SUM(D$32:D60))*F$7*30/365,2)</f>
        <v>#N/A</v>
      </c>
      <c r="G61" s="258" t="e">
        <f t="shared" si="6"/>
        <v>#N/A</v>
      </c>
      <c r="H61" s="259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46861</v>
      </c>
      <c r="D62" s="31" t="e">
        <f>IF(B62&lt;$F$13,$G$16-E62-F62,IF(B62=$F$13,$E$15-SUM($D$31:D61),0))</f>
        <v>#N/A</v>
      </c>
      <c r="E62" s="32" t="e">
        <f>IF(B62&lt;=$F$13,(E$15*(VLOOKUP($H$2,Лист2!$A:$O,12,0)-(B62-1)*VLOOKUP($H$2,Лист2!$A:$O,13,0))),0)</f>
        <v>#N/A</v>
      </c>
      <c r="F62" s="184" t="e">
        <f>ROUND((E$15-SUM(D$32:D61))*F$7*30/365,2)</f>
        <v>#N/A</v>
      </c>
      <c r="G62" s="258" t="e">
        <f t="shared" ref="G62:G67" si="7">D62+E62+F62</f>
        <v>#N/A</v>
      </c>
      <c r="H62" s="259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46891</v>
      </c>
      <c r="D63" s="31" t="e">
        <f>IF(B63&lt;$F$13,$G$16-E63-F63,IF(B63=$F$13,$E$15-SUM($D$31:D62),0))</f>
        <v>#N/A</v>
      </c>
      <c r="E63" s="32" t="e">
        <f>IF(B63&lt;=$F$13,(E$15*(VLOOKUP($H$2,Лист2!$A:$O,12,0)-(B63-1)*VLOOKUP($H$2,Лист2!$A:$O,13,0))),0)</f>
        <v>#N/A</v>
      </c>
      <c r="F63" s="184" t="e">
        <f>ROUND((E$15-SUM(D$32:D62))*F$7*30/365,2)</f>
        <v>#N/A</v>
      </c>
      <c r="G63" s="258" t="e">
        <f t="shared" si="7"/>
        <v>#N/A</v>
      </c>
      <c r="H63" s="259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46922</v>
      </c>
      <c r="D64" s="31" t="e">
        <f>IF(B64&lt;$F$13,$G$16-E64-F64,IF(B64=$F$13,$E$15-SUM($D$31:D63),0))</f>
        <v>#N/A</v>
      </c>
      <c r="E64" s="32" t="e">
        <f>IF(B64&lt;=$F$13,(E$15*(VLOOKUP($H$2,Лист2!$A:$O,12,0)-(B64-1)*VLOOKUP($H$2,Лист2!$A:$O,13,0))),0)</f>
        <v>#N/A</v>
      </c>
      <c r="F64" s="184" t="e">
        <f>ROUND((E$15-SUM(D$32:D63))*F$7*30/365,2)</f>
        <v>#N/A</v>
      </c>
      <c r="G64" s="258" t="e">
        <f t="shared" si="7"/>
        <v>#N/A</v>
      </c>
      <c r="H64" s="259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46952</v>
      </c>
      <c r="D65" s="31" t="e">
        <f>IF(B65&lt;$F$13,$G$16-E65-F65,IF(B65=$F$13,$E$15-SUM($D$31:D64),0))</f>
        <v>#N/A</v>
      </c>
      <c r="E65" s="32" t="e">
        <f>IF(B65&lt;=$F$13,(E$15*(VLOOKUP($H$2,Лист2!$A:$O,12,0)-(B65-1)*VLOOKUP($H$2,Лист2!$A:$O,13,0))),0)</f>
        <v>#N/A</v>
      </c>
      <c r="F65" s="184" t="e">
        <f>ROUND((E$15-SUM(D$32:D64))*F$7*30/365,2)</f>
        <v>#N/A</v>
      </c>
      <c r="G65" s="258" t="e">
        <f t="shared" si="7"/>
        <v>#N/A</v>
      </c>
      <c r="H65" s="259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46983</v>
      </c>
      <c r="D66" s="31" t="e">
        <f>IF(B66&lt;$F$13,$G$16-E66-F66,IF(B66=$F$13,$E$15-SUM($D$31:D65),0))</f>
        <v>#N/A</v>
      </c>
      <c r="E66" s="32" t="e">
        <f>IF(B66&lt;=$F$13,(E$15*(VLOOKUP($H$2,Лист2!$A:$O,12,0)-(B66-1)*VLOOKUP($H$2,Лист2!$A:$O,13,0))),0)</f>
        <v>#N/A</v>
      </c>
      <c r="F66" s="184" t="e">
        <f>ROUND((E$15-SUM(D$32:D65))*F$7*30/365,2)</f>
        <v>#N/A</v>
      </c>
      <c r="G66" s="258" t="e">
        <f t="shared" si="7"/>
        <v>#N/A</v>
      </c>
      <c r="H66" s="259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47014</v>
      </c>
      <c r="D67" s="31" t="e">
        <f>IF(B67&lt;$F$13,$G$16-E67-F67,IF(B67=$F$13,$E$15-SUM($D$31:D66),0))</f>
        <v>#N/A</v>
      </c>
      <c r="E67" s="32" t="e">
        <f>IF(B67&lt;=$F$13,(E$15*(VLOOKUP($H$2,Лист2!$A:$O,12,0)-(B67-1)*VLOOKUP($H$2,Лист2!$A:$O,13,0))),0)</f>
        <v>#N/A</v>
      </c>
      <c r="F67" s="184" t="e">
        <f>ROUND((E$15-SUM(D$32:D66))*F$7*30/365,2)</f>
        <v>#N/A</v>
      </c>
      <c r="G67" s="258" t="e">
        <f t="shared" si="7"/>
        <v>#N/A</v>
      </c>
      <c r="H67" s="259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47044</v>
      </c>
      <c r="D68" s="31" t="e">
        <f>IF(B68&lt;$F$13,$G$16-E68-F68,IF(B68=$F$13,$E$15-SUM($D$31:D67),0))</f>
        <v>#N/A</v>
      </c>
      <c r="E68" s="32" t="e">
        <f>IF(B68&lt;=$F$13,(E$15*(VLOOKUP($H$2,Лист2!$A:$O,12,0)-(B68-1)*VLOOKUP($H$2,Лист2!$A:$O,13,0))),0)</f>
        <v>#N/A</v>
      </c>
      <c r="F68" s="184" t="e">
        <f>ROUND((E$15-SUM(D$32:D67))*F$7*30/365,2)</f>
        <v>#N/A</v>
      </c>
      <c r="G68" s="258" t="e">
        <f t="shared" ref="G68:G81" si="8">D68+E68+F68</f>
        <v>#N/A</v>
      </c>
      <c r="H68" s="259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47075</v>
      </c>
      <c r="D69" s="31" t="e">
        <f>IF(B69&lt;$F$13,$G$16-E69-F69,IF(B69=$F$13,$E$15-SUM($D$31:D68),0))</f>
        <v>#N/A</v>
      </c>
      <c r="E69" s="32" t="e">
        <f>IF(B69&lt;=$F$13,(E$15*(VLOOKUP($H$2,Лист2!$A:$O,12,0)-(B69-1)*VLOOKUP($H$2,Лист2!$A:$O,13,0))),0)</f>
        <v>#N/A</v>
      </c>
      <c r="F69" s="184" t="e">
        <f>ROUND((E$15-SUM(D$32:D68))*F$7*30/365,2)</f>
        <v>#N/A</v>
      </c>
      <c r="G69" s="258" t="e">
        <f t="shared" si="8"/>
        <v>#N/A</v>
      </c>
      <c r="H69" s="259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47105</v>
      </c>
      <c r="D70" s="31" t="e">
        <f>IF(B70&lt;$F$13,$G$16-E70-F70,IF(B70=$F$13,$E$15-SUM($D$31:D69),0))</f>
        <v>#N/A</v>
      </c>
      <c r="E70" s="32" t="e">
        <f>IF(B70&lt;=$F$13,(E$15*(VLOOKUP($H$2,Лист2!$A:$O,12,0)-(B70-1)*VLOOKUP($H$2,Лист2!$A:$O,13,0))),0)</f>
        <v>#N/A</v>
      </c>
      <c r="F70" s="184" t="e">
        <f>ROUND((E$15-SUM(D$32:D69))*F$7*30/365,2)</f>
        <v>#N/A</v>
      </c>
      <c r="G70" s="258" t="e">
        <f t="shared" si="8"/>
        <v>#N/A</v>
      </c>
      <c r="H70" s="259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47136</v>
      </c>
      <c r="D71" s="31" t="e">
        <f>IF(B71&lt;$F$13,$G$16-E71-F71,IF(B71=$F$13,$E$15-SUM($D$31:D70),0))</f>
        <v>#N/A</v>
      </c>
      <c r="E71" s="32" t="e">
        <f>IF(B71&lt;=$F$13,(E$15*(VLOOKUP($H$2,Лист2!$A:$O,12,0)-(B71-1)*VLOOKUP($H$2,Лист2!$A:$O,13,0))),0)</f>
        <v>#N/A</v>
      </c>
      <c r="F71" s="184" t="e">
        <f>ROUND((E$15-SUM(D$32:D70))*F$7*30/365,2)</f>
        <v>#N/A</v>
      </c>
      <c r="G71" s="258" t="e">
        <f t="shared" si="8"/>
        <v>#N/A</v>
      </c>
      <c r="H71" s="259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47167</v>
      </c>
      <c r="D72" s="31" t="e">
        <f>IF(B72&lt;$F$13,$G$16-E72-F72,IF(B72=$F$13,$E$15-SUM($D$31:D71),0))</f>
        <v>#N/A</v>
      </c>
      <c r="E72" s="32" t="e">
        <f>IF(B72&lt;=$F$13,(E$15*(VLOOKUP($H$2,Лист2!$A:$O,12,0)-(B72-1)*VLOOKUP($H$2,Лист2!$A:$O,13,0))),0)</f>
        <v>#N/A</v>
      </c>
      <c r="F72" s="184" t="e">
        <f>ROUND((E$15-SUM(D$32:D71))*F$7*30/365,2)</f>
        <v>#N/A</v>
      </c>
      <c r="G72" s="258" t="e">
        <f t="shared" si="8"/>
        <v>#N/A</v>
      </c>
      <c r="H72" s="259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47195</v>
      </c>
      <c r="D73" s="31" t="e">
        <f>IF(B73&lt;$F$13,$G$16-E73-F73,IF(B73=$F$13,$E$15-SUM($D$31:D72),0))</f>
        <v>#N/A</v>
      </c>
      <c r="E73" s="32" t="e">
        <f>IF(B73&lt;=$F$13,(E$15*(VLOOKUP($H$2,Лист2!$A:$O,12,0)-(B73-1)*VLOOKUP($H$2,Лист2!$A:$O,13,0))),0)</f>
        <v>#N/A</v>
      </c>
      <c r="F73" s="184" t="e">
        <f>ROUND((E$15-SUM(D$32:D72))*F$7*30/365,2)</f>
        <v>#N/A</v>
      </c>
      <c r="G73" s="258" t="e">
        <f t="shared" si="8"/>
        <v>#N/A</v>
      </c>
      <c r="H73" s="259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47226</v>
      </c>
      <c r="D74" s="31" t="e">
        <f>IF(B74&lt;$F$13,$G$16-E74-F74,IF(B74=$F$13,$E$15-SUM($D$31:D73),0))</f>
        <v>#N/A</v>
      </c>
      <c r="E74" s="32" t="e">
        <f>IF(B74&lt;=$F$13,(E$15*(VLOOKUP($H$2,Лист2!$A:$O,12,0)-(B74-1)*VLOOKUP($H$2,Лист2!$A:$O,13,0))),0)</f>
        <v>#N/A</v>
      </c>
      <c r="F74" s="184" t="e">
        <f>ROUND((E$15-SUM(D$32:D73))*F$7*30/365,2)</f>
        <v>#N/A</v>
      </c>
      <c r="G74" s="258" t="e">
        <f t="shared" si="8"/>
        <v>#N/A</v>
      </c>
      <c r="H74" s="259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47256</v>
      </c>
      <c r="D75" s="31" t="e">
        <f>IF(B75&lt;$F$13,$G$16-E75-F75,IF(B75=$F$13,$E$15-SUM($D$31:D74),0))</f>
        <v>#N/A</v>
      </c>
      <c r="E75" s="32" t="e">
        <f>IF(B75&lt;=$F$13,(E$15*(VLOOKUP($H$2,Лист2!$A:$O,12,0)-(B75-1)*VLOOKUP($H$2,Лист2!$A:$O,13,0))),0)</f>
        <v>#N/A</v>
      </c>
      <c r="F75" s="184" t="e">
        <f>ROUND((E$15-SUM(D$32:D74))*F$7*30/365,2)</f>
        <v>#N/A</v>
      </c>
      <c r="G75" s="258" t="e">
        <f t="shared" si="8"/>
        <v>#N/A</v>
      </c>
      <c r="H75" s="259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47287</v>
      </c>
      <c r="D76" s="31" t="e">
        <f>IF(B76&lt;$F$13,$G$16-E76-F76,IF(B76=$F$13,$E$15-SUM($D$31:D75),0))</f>
        <v>#N/A</v>
      </c>
      <c r="E76" s="32" t="e">
        <f>IF(B76&lt;=$F$13,(E$15*(VLOOKUP($H$2,Лист2!$A:$O,12,0)-(B76-1)*VLOOKUP($H$2,Лист2!$A:$O,13,0))),0)</f>
        <v>#N/A</v>
      </c>
      <c r="F76" s="184" t="e">
        <f>ROUND((E$15-SUM(D$32:D75))*F$7*30/365,2)</f>
        <v>#N/A</v>
      </c>
      <c r="G76" s="258" t="e">
        <f t="shared" si="8"/>
        <v>#N/A</v>
      </c>
      <c r="H76" s="259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47317</v>
      </c>
      <c r="D77" s="31" t="e">
        <f>IF(B77&lt;$F$13,$G$16-E77-F77,IF(B77=$F$13,$E$15-SUM($D$31:D76),0))</f>
        <v>#N/A</v>
      </c>
      <c r="E77" s="32" t="e">
        <f>IF(B77&lt;=$F$13,(E$15*(VLOOKUP($H$2,Лист2!$A:$O,12,0)-(B77-1)*VLOOKUP($H$2,Лист2!$A:$O,13,0))),0)</f>
        <v>#N/A</v>
      </c>
      <c r="F77" s="184" t="e">
        <f>ROUND((E$15-SUM(D$32:D76))*F$7*30/365,2)</f>
        <v>#N/A</v>
      </c>
      <c r="G77" s="258" t="e">
        <f t="shared" si="8"/>
        <v>#N/A</v>
      </c>
      <c r="H77" s="259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47348</v>
      </c>
      <c r="D78" s="31" t="e">
        <f>IF(B78&lt;$F$13,$G$16-E78-F78,IF(B78=$F$13,$E$15-SUM($D$31:D77),0))</f>
        <v>#N/A</v>
      </c>
      <c r="E78" s="32" t="e">
        <f>IF(B78&lt;=$F$13,(E$15*(VLOOKUP($H$2,Лист2!$A:$O,12,0)-(B78-1)*VLOOKUP($H$2,Лист2!$A:$O,13,0))),0)</f>
        <v>#N/A</v>
      </c>
      <c r="F78" s="184" t="e">
        <f>ROUND((E$15-SUM(D$32:D77))*F$7*30/365,2)</f>
        <v>#N/A</v>
      </c>
      <c r="G78" s="258" t="e">
        <f t="shared" si="8"/>
        <v>#N/A</v>
      </c>
      <c r="H78" s="259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47379</v>
      </c>
      <c r="D79" s="31" t="e">
        <f>IF(B79&lt;$F$13,$G$16-E79-F79,IF(B79=$F$13,$E$15-SUM($D$31:D78),0))</f>
        <v>#N/A</v>
      </c>
      <c r="E79" s="32" t="e">
        <f>IF(B79&lt;=$F$13,(E$15*(VLOOKUP($H$2,Лист2!$A:$O,12,0)-(B79-1)*VLOOKUP($H$2,Лист2!$A:$O,13,0))),0)</f>
        <v>#N/A</v>
      </c>
      <c r="F79" s="184" t="e">
        <f>ROUND((E$15-SUM(D$32:D78))*F$7*30/365,2)</f>
        <v>#N/A</v>
      </c>
      <c r="G79" s="258" t="e">
        <f t="shared" si="8"/>
        <v>#N/A</v>
      </c>
      <c r="H79" s="259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47409</v>
      </c>
      <c r="D80" s="31" t="e">
        <f>IF(B80&lt;$F$13,$G$16-E80-F80,IF(B80=$F$13,$E$15-SUM($D$31:D79),0))</f>
        <v>#N/A</v>
      </c>
      <c r="E80" s="32" t="e">
        <f>IF(B80&lt;=$F$13,(E$15*(VLOOKUP($H$2,Лист2!$A:$O,12,0)-(B80-1)*VLOOKUP($H$2,Лист2!$A:$O,13,0))),0)</f>
        <v>#N/A</v>
      </c>
      <c r="F80" s="184" t="e">
        <f>ROUND((E$15-SUM(D$32:D79))*F$7*30/365,2)</f>
        <v>#N/A</v>
      </c>
      <c r="G80" s="258" t="e">
        <f t="shared" si="8"/>
        <v>#N/A</v>
      </c>
      <c r="H80" s="259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47440</v>
      </c>
      <c r="D81" s="31" t="e">
        <f>IF(B81&lt;$F$13,$G$16-E81-F81,IF(B81=$F$13,$E$15-SUM($D$31:D80),0))</f>
        <v>#N/A</v>
      </c>
      <c r="E81" s="32" t="e">
        <f>IF(B81&lt;=$F$13,(E$15*(VLOOKUP($H$2,Лист2!$A:$O,12,0)-(B81-1)*VLOOKUP($H$2,Лист2!$A:$O,13,0))),0)</f>
        <v>#N/A</v>
      </c>
      <c r="F81" s="184" t="e">
        <f>ROUND((E$15-SUM(D$32:D80))*F$7*30/365,2)</f>
        <v>#N/A</v>
      </c>
      <c r="G81" s="258" t="e">
        <f t="shared" si="8"/>
        <v>#N/A</v>
      </c>
      <c r="H81" s="259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47470</v>
      </c>
      <c r="D82" s="31" t="e">
        <f>IF(B82&lt;$F$13,$G$16-E82-F82,IF(B82=$F$13,$E$15-SUM($D$31:D81),0))</f>
        <v>#N/A</v>
      </c>
      <c r="E82" s="32" t="e">
        <f>IF(B82&lt;=$F$13,(E$15*(VLOOKUP($H$2,Лист2!$A:$O,12,0)-(B82-1)*VLOOKUP($H$2,Лист2!$A:$O,13,0))),0)</f>
        <v>#N/A</v>
      </c>
      <c r="F82" s="184" t="e">
        <f>ROUND((E$15-SUM(D$32:D81))*F$7*30/365,2)</f>
        <v>#N/A</v>
      </c>
      <c r="G82" s="258" t="e">
        <f t="shared" ref="G82:G91" si="9">D82+E82+F82</f>
        <v>#N/A</v>
      </c>
      <c r="H82" s="259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47501</v>
      </c>
      <c r="D83" s="31" t="e">
        <f>IF(B83&lt;$F$13,$G$16-E83-F83,IF(B83=$F$13,$E$15-SUM($D$31:D82),0))</f>
        <v>#N/A</v>
      </c>
      <c r="E83" s="32" t="e">
        <f>IF(B83&lt;=$F$13,(E$15*(VLOOKUP($H$2,Лист2!$A:$O,12,0)-(B83-1)*VLOOKUP($H$2,Лист2!$A:$O,13,0))),0)</f>
        <v>#N/A</v>
      </c>
      <c r="F83" s="184" t="e">
        <f>ROUND((E$15-SUM(D$32:D82))*F$7*30/365,2)</f>
        <v>#N/A</v>
      </c>
      <c r="G83" s="258" t="e">
        <f t="shared" si="9"/>
        <v>#N/A</v>
      </c>
      <c r="H83" s="259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47532</v>
      </c>
      <c r="D84" s="31" t="e">
        <f>IF(B84&lt;$F$13,$G$16-E84-F84,IF(B84=$F$13,$E$15-SUM($D$31:D83),0))</f>
        <v>#N/A</v>
      </c>
      <c r="E84" s="32" t="e">
        <f>IF(B84&lt;=$F$13,(E$15*(VLOOKUP($H$2,Лист2!$A:$O,12,0)-(B84-1)*VLOOKUP($H$2,Лист2!$A:$O,13,0))),0)</f>
        <v>#N/A</v>
      </c>
      <c r="F84" s="184" t="e">
        <f>ROUND((E$15-SUM(D$32:D83))*F$7*30/365,2)</f>
        <v>#N/A</v>
      </c>
      <c r="G84" s="258" t="e">
        <f t="shared" si="9"/>
        <v>#N/A</v>
      </c>
      <c r="H84" s="259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47560</v>
      </c>
      <c r="D85" s="31" t="e">
        <f>IF(B85&lt;$F$13,$G$16-E85-F85,IF(B85=$F$13,$E$15-SUM($D$31:D84),0))</f>
        <v>#N/A</v>
      </c>
      <c r="E85" s="32" t="e">
        <f>IF(B85&lt;=$F$13,(E$15*(VLOOKUP($H$2,Лист2!$A:$O,12,0)-(B85-1)*VLOOKUP($H$2,Лист2!$A:$O,13,0))),0)</f>
        <v>#N/A</v>
      </c>
      <c r="F85" s="184" t="e">
        <f>ROUND((E$15-SUM(D$32:D84))*F$7*30/365,2)</f>
        <v>#N/A</v>
      </c>
      <c r="G85" s="258" t="e">
        <f t="shared" si="9"/>
        <v>#N/A</v>
      </c>
      <c r="H85" s="259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47591</v>
      </c>
      <c r="D86" s="31" t="e">
        <f>IF(B86&lt;$F$13,$G$16-E86-F86,IF(B86=$F$13,$E$15-SUM($D$31:D85),0))</f>
        <v>#N/A</v>
      </c>
      <c r="E86" s="32" t="e">
        <f>IF(B86&lt;=$F$13,(E$15*(VLOOKUP($H$2,Лист2!$A:$O,12,0)-(B86-1)*VLOOKUP($H$2,Лист2!$A:$O,13,0))),0)</f>
        <v>#N/A</v>
      </c>
      <c r="F86" s="184" t="e">
        <f>ROUND((E$15-SUM(D$32:D85))*F$7*30/365,2)</f>
        <v>#N/A</v>
      </c>
      <c r="G86" s="258" t="e">
        <f t="shared" si="9"/>
        <v>#N/A</v>
      </c>
      <c r="H86" s="259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47621</v>
      </c>
      <c r="D87" s="31" t="e">
        <f>IF(B87&lt;$F$13,$G$16-E87-F87,IF(B87=$F$13,$E$15-SUM($D$31:D86),0))</f>
        <v>#N/A</v>
      </c>
      <c r="E87" s="32" t="e">
        <f>IF(B87&lt;=$F$13,(E$15*(VLOOKUP($H$2,Лист2!$A:$O,12,0)-(B87-1)*VLOOKUP($H$2,Лист2!$A:$O,13,0))),0)</f>
        <v>#N/A</v>
      </c>
      <c r="F87" s="184" t="e">
        <f>ROUND((E$15-SUM(D$32:D86))*F$7*30/365,2)</f>
        <v>#N/A</v>
      </c>
      <c r="G87" s="258" t="e">
        <f t="shared" si="9"/>
        <v>#N/A</v>
      </c>
      <c r="H87" s="259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47652</v>
      </c>
      <c r="D88" s="31" t="e">
        <f>IF(B88&lt;$F$13,$G$16-E88-F88,IF(B88=$F$13,$E$15-SUM($D$31:D87),0))</f>
        <v>#N/A</v>
      </c>
      <c r="E88" s="32" t="e">
        <f>IF(B88&lt;=$F$13,(E$15*(VLOOKUP($H$2,Лист2!$A:$O,12,0)-(B88-1)*VLOOKUP($H$2,Лист2!$A:$O,13,0))),0)</f>
        <v>#N/A</v>
      </c>
      <c r="F88" s="184" t="e">
        <f>ROUND((E$15-SUM(D$32:D87))*F$7*30/365,2)</f>
        <v>#N/A</v>
      </c>
      <c r="G88" s="258" t="e">
        <f t="shared" si="9"/>
        <v>#N/A</v>
      </c>
      <c r="H88" s="259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47682</v>
      </c>
      <c r="D89" s="31" t="e">
        <f>IF(B89&lt;$F$13,$G$16-E89-F89,IF(B89=$F$13,$E$15-SUM($D$31:D88),0))</f>
        <v>#N/A</v>
      </c>
      <c r="E89" s="32" t="e">
        <f>IF(B89&lt;=$F$13,(E$15*(VLOOKUP($H$2,Лист2!$A:$O,12,0)-(B89-1)*VLOOKUP($H$2,Лист2!$A:$O,13,0))),0)</f>
        <v>#N/A</v>
      </c>
      <c r="F89" s="184" t="e">
        <f>ROUND((E$15-SUM(D$32:D88))*F$7*30/365,2)</f>
        <v>#N/A</v>
      </c>
      <c r="G89" s="258" t="e">
        <f t="shared" si="9"/>
        <v>#N/A</v>
      </c>
      <c r="H89" s="259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47713</v>
      </c>
      <c r="D90" s="31" t="e">
        <f>IF(B90&lt;$F$13,$G$16-E90-F90,IF(B90=$F$13,$E$15-SUM($D$31:D89),0))</f>
        <v>#N/A</v>
      </c>
      <c r="E90" s="32" t="e">
        <f>IF(B90&lt;=$F$13,(E$15*(VLOOKUP($H$2,Лист2!$A:$O,12,0)-(B90-1)*VLOOKUP($H$2,Лист2!$A:$O,13,0))),0)</f>
        <v>#N/A</v>
      </c>
      <c r="F90" s="184" t="e">
        <f>ROUND((E$15-SUM(D$32:D89))*F$7*30/365,2)</f>
        <v>#N/A</v>
      </c>
      <c r="G90" s="258" t="e">
        <f t="shared" si="9"/>
        <v>#N/A</v>
      </c>
      <c r="H90" s="259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47744</v>
      </c>
      <c r="D91" s="31" t="e">
        <f>IF(B91&lt;$F$13,$G$16-E91-F91,IF(B91=$F$13,$E$15-SUM($D$31:D90),0))</f>
        <v>#N/A</v>
      </c>
      <c r="E91" s="32" t="e">
        <f>IF(B91&lt;=$F$13,(E$15*(VLOOKUP($H$2,Лист2!$A:$O,12,0)-(B91-1)*VLOOKUP($H$2,Лист2!$A:$O,13,0))),0)</f>
        <v>#N/A</v>
      </c>
      <c r="F91" s="184" t="e">
        <f>ROUND((E$15-SUM(D$32:D90))*F$7*30/365,2)</f>
        <v>#N/A</v>
      </c>
      <c r="G91" s="274" t="e">
        <f t="shared" si="9"/>
        <v>#N/A</v>
      </c>
      <c r="H91" s="275"/>
      <c r="I91" s="134"/>
      <c r="J91" s="134"/>
    </row>
    <row r="92" spans="1:19" ht="16.5" thickBot="1" x14ac:dyDescent="0.25">
      <c r="A92" s="60"/>
      <c r="B92" s="269" t="s">
        <v>3</v>
      </c>
      <c r="C92" s="270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1" t="e">
        <f>SUM(G32:H91)</f>
        <v>#N/A</v>
      </c>
      <c r="H92" s="272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3" t="s">
        <v>5</v>
      </c>
      <c r="F94" s="273"/>
      <c r="G94" s="273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24:C24"/>
    <mergeCell ref="G60:H60"/>
    <mergeCell ref="G57:H57"/>
    <mergeCell ref="G58:H58"/>
    <mergeCell ref="G59:H59"/>
    <mergeCell ref="G32:H32"/>
    <mergeCell ref="G33:H33"/>
    <mergeCell ref="B25:C25"/>
    <mergeCell ref="B26:C26"/>
    <mergeCell ref="B29:H29"/>
    <mergeCell ref="B30:C30"/>
    <mergeCell ref="G30:H30"/>
    <mergeCell ref="G34:H34"/>
    <mergeCell ref="G35:H35"/>
    <mergeCell ref="G36:H36"/>
    <mergeCell ref="G42:H42"/>
    <mergeCell ref="B16:E16"/>
    <mergeCell ref="B18:E18"/>
    <mergeCell ref="B20:E20"/>
    <mergeCell ref="B22:C22"/>
    <mergeCell ref="B23:C23"/>
    <mergeCell ref="B5:E5"/>
    <mergeCell ref="B7:E7"/>
    <mergeCell ref="B11:E11"/>
    <mergeCell ref="B9:E9"/>
    <mergeCell ref="B13:E13"/>
    <mergeCell ref="H2:I2"/>
    <mergeCell ref="F3:F4"/>
    <mergeCell ref="H3:I3"/>
    <mergeCell ref="G40:H40"/>
    <mergeCell ref="G41:H41"/>
    <mergeCell ref="G37:H37"/>
    <mergeCell ref="G38:H38"/>
    <mergeCell ref="G39:H39"/>
    <mergeCell ref="G46:H46"/>
    <mergeCell ref="G47:H47"/>
    <mergeCell ref="G48:H48"/>
    <mergeCell ref="G43:H43"/>
    <mergeCell ref="G44:H44"/>
    <mergeCell ref="G45:H45"/>
    <mergeCell ref="G49:H49"/>
    <mergeCell ref="G50:H50"/>
    <mergeCell ref="G51:H51"/>
    <mergeCell ref="G55:H55"/>
    <mergeCell ref="G56:H56"/>
    <mergeCell ref="B92:C92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67:H67"/>
    <mergeCell ref="G92:H92"/>
    <mergeCell ref="G52:H52"/>
    <mergeCell ref="E94:G94"/>
    <mergeCell ref="G53:H53"/>
    <mergeCell ref="G54:H54"/>
    <mergeCell ref="G61:H61"/>
    <mergeCell ref="G83:H83"/>
    <mergeCell ref="G89:H89"/>
    <mergeCell ref="G90:H90"/>
    <mergeCell ref="G91:H91"/>
    <mergeCell ref="G84:H84"/>
    <mergeCell ref="G85:H85"/>
    <mergeCell ref="G86:H86"/>
    <mergeCell ref="G87:H87"/>
    <mergeCell ref="G88:H88"/>
    <mergeCell ref="G62:H62"/>
    <mergeCell ref="G63:H63"/>
    <mergeCell ref="G64:H64"/>
    <mergeCell ref="G65:H65"/>
    <mergeCell ref="G66:H66"/>
  </mergeCells>
  <dataValidations count="1">
    <dataValidation type="list" allowBlank="1" showInputMessage="1" showErrorMessage="1" sqref="H2:I2" xr:uid="{00000000-0002-0000-0200-000000000000}">
      <formula1>$AA$28:$AA$33</formula1>
    </dataValidation>
  </dataValidations>
  <pageMargins left="0.39370078740157483" right="0.35433070866141736" top="0.59055118110236227" bottom="0.59055118110236227" header="0.51181102362204722" footer="0.51181102362204722"/>
  <pageSetup paperSize="9" scale="69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>
    <pageSetUpPr fitToPage="1"/>
  </sheetPr>
  <dimension ref="A1:AS99"/>
  <sheetViews>
    <sheetView view="pageBreakPreview" zoomScaleNormal="70" zoomScaleSheetLayoutView="100" workbookViewId="0">
      <pane ySplit="4" topLeftCell="A17" activePane="bottomLeft" state="frozen"/>
      <selection activeCell="F4" sqref="F4"/>
      <selection pane="bottomLeft" activeCell="G19" sqref="G19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VLOOKUP(Пенсійний!H2,Лист2!A:O,14,FALSE)</f>
        <v>#N/A</v>
      </c>
      <c r="F2" s="126" t="e">
        <f>VLOOKUP(H$2,Лист2!$A:$H,2,0)</f>
        <v>#N/A</v>
      </c>
      <c r="G2" s="185">
        <f ca="1">TODAY()</f>
        <v>45918</v>
      </c>
      <c r="H2" s="243" t="s">
        <v>66</v>
      </c>
      <c r="I2" s="244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  <c r="K3" s="4" t="e">
        <f>VLOOKUP(H2,Лист2!A:K,10,0)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46"/>
      <c r="G4" s="125"/>
      <c r="H4" s="39"/>
      <c r="I4" s="50"/>
      <c r="J4" s="50"/>
      <c r="AA4" s="69"/>
    </row>
    <row r="5" spans="1:45" ht="21" thickBot="1" x14ac:dyDescent="0.25">
      <c r="A5" s="1"/>
      <c r="B5" s="249" t="str">
        <f>Назви!A1</f>
        <v>Cash out, грн.</v>
      </c>
      <c r="C5" s="250"/>
      <c r="D5" s="250"/>
      <c r="E5" s="251"/>
      <c r="F5" s="118">
        <v>21007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IF($F5&lt;=VLOOKUP(M$3,Лист2!$A:$G,2,0),$F5,0)</f>
        <v>#N/A</v>
      </c>
      <c r="N5" s="73" t="e">
        <f>IF($F5&lt;=VLOOKUP(N$3,Лист2!$A:$G,2,0),$F5,0)</f>
        <v>#N/A</v>
      </c>
      <c r="O5" s="73" t="e">
        <f>IF($F5&lt;=VLOOKUP(O$3,Лист2!$A:$G,2,0),$F5,0)</f>
        <v>#N/A</v>
      </c>
      <c r="P5" s="73" t="e">
        <f>IF($F5&lt;=VLOOKUP(P$3,Лист2!$A:$G,2,0),$F5,0)</f>
        <v>#N/A</v>
      </c>
      <c r="Q5" s="73" t="e">
        <f>IF($F5&lt;=VLOOKUP(Q$3,Лист2!$A:$G,2,0),$F5,0)</f>
        <v>#N/A</v>
      </c>
      <c r="R5" s="73" t="e">
        <f>IF($F5&lt;=VLOOKUP(R$3,Лист2!$A:$G,2,0),$F5,0)</f>
        <v>#N/A</v>
      </c>
      <c r="S5" s="73" t="e">
        <f>IF($F5&lt;=VLOOKUP(S$3,Лист2!$A:$G,2,0),$F5,0)</f>
        <v>#N/A</v>
      </c>
      <c r="T5" s="73" t="e">
        <f>IF($F5&lt;=VLOOKUP(T$3,Лист2!$A:$G,2,0),$F5,0)</f>
        <v>#N/A</v>
      </c>
      <c r="U5" s="73" t="e">
        <f>IF($F5&lt;=VLOOKUP(U$3,Лист2!$A:$G,2,0),$F5,0)</f>
        <v>#N/A</v>
      </c>
      <c r="V5" s="73" t="e">
        <f>IF($F5&lt;=VLOOKUP(V$3,Лист2!$A:$G,2,0),$F5,0)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2" t="str">
        <f>Назви!A3</f>
        <v>Процентна ставка базова, % річних</v>
      </c>
      <c r="C7" s="253">
        <f>Назви!B3</f>
        <v>0</v>
      </c>
      <c r="D7" s="253">
        <f>Назви!C3</f>
        <v>0</v>
      </c>
      <c r="E7" s="254">
        <f>Назви!D3</f>
        <v>0</v>
      </c>
      <c r="F7" s="38" t="e">
        <f>VLOOKUP(H$2,Лист2!$A:$H,4,0)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VLOOKUP(H$2,Лист2!$A:$G,4,0)</f>
        <v>#N/A</v>
      </c>
      <c r="N7" s="68" t="e">
        <f>VLOOKUP(N$3,Лист2!$A:$G,4,0)</f>
        <v>#N/A</v>
      </c>
      <c r="O7" s="68" t="e">
        <f>VLOOKUP(O$3,Лист2!$A:$G,4,0)</f>
        <v>#N/A</v>
      </c>
      <c r="P7" s="68" t="e">
        <f>VLOOKUP(P$3,Лист2!$A:$G,4,0)</f>
        <v>#N/A</v>
      </c>
      <c r="Q7" s="68" t="e">
        <f>VLOOKUP(Q$3,Лист2!$A:$G,4,0)</f>
        <v>#N/A</v>
      </c>
      <c r="R7" s="68" t="e">
        <f>VLOOKUP(R$3,Лист2!$A:$G,4,0)</f>
        <v>#N/A</v>
      </c>
      <c r="S7" s="68" t="e">
        <f>VLOOKUP(S$3,Лист2!$A:$G,4,0)</f>
        <v>#N/A</v>
      </c>
      <c r="T7" s="68" t="e">
        <f>VLOOKUP(T$3,Лист2!$A:$G,4,0)</f>
        <v>#N/A</v>
      </c>
      <c r="U7" s="68" t="e">
        <f>VLOOKUP(U$3,Лист2!$A:$G,4,0)</f>
        <v>#N/A</v>
      </c>
      <c r="V7" s="68" t="e">
        <f>VLOOKUP(V$3,Лист2!$A:$G,4,0)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2" t="str">
        <f>Назви!A7</f>
        <v>Разовий страховий тариф, %</v>
      </c>
      <c r="C9" s="253">
        <f>Назви!B7</f>
        <v>0</v>
      </c>
      <c r="D9" s="253">
        <f>Назви!C7</f>
        <v>0</v>
      </c>
      <c r="E9" s="254">
        <f>Назви!D7</f>
        <v>0</v>
      </c>
      <c r="F9" s="38" t="e">
        <f>VLOOKUP(H$2,Лист2!$A:$H,5,0)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VLOOKUP(H$2,Лист2!$A:$G,5,0)</f>
        <v>#N/A</v>
      </c>
      <c r="N9" s="68" t="e">
        <f>VLOOKUP(N$3,Лист2!$A:$G,5,0)</f>
        <v>#N/A</v>
      </c>
      <c r="O9" s="68" t="e">
        <f>VLOOKUP(O$3,Лист2!$A:$G,5,0)</f>
        <v>#N/A</v>
      </c>
      <c r="P9" s="68" t="e">
        <f>VLOOKUP(P$3,Лист2!$A:$G,5,0)</f>
        <v>#N/A</v>
      </c>
      <c r="Q9" s="68" t="e">
        <f>VLOOKUP(Q$3,Лист2!$A:$G,5,0)</f>
        <v>#N/A</v>
      </c>
      <c r="R9" s="68" t="e">
        <f>VLOOKUP(R$3,Лист2!$A:$G,5,0)</f>
        <v>#N/A</v>
      </c>
      <c r="S9" s="68" t="e">
        <f>VLOOKUP(S$3,Лист2!$A:$G,5,0)</f>
        <v>#N/A</v>
      </c>
      <c r="T9" s="68" t="e">
        <f>VLOOKUP(T$3,Лист2!$A:$G,5,0)</f>
        <v>#N/A</v>
      </c>
      <c r="U9" s="68" t="e">
        <f>VLOOKUP(U$3,Лист2!$A:$G,5,0)</f>
        <v>#N/A</v>
      </c>
      <c r="V9" s="68" t="e">
        <f>VLOOKUP(V$3,Лист2!$A:$G,5,0)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2" t="str">
        <f>Назви!A9</f>
        <v xml:space="preserve">Щомісячна плата за обслуговування кредитної заборгованості, % </v>
      </c>
      <c r="C11" s="253">
        <f>Назви!B9</f>
        <v>0</v>
      </c>
      <c r="D11" s="253">
        <f>Назви!C9</f>
        <v>0</v>
      </c>
      <c r="E11" s="254">
        <f>Назви!D9</f>
        <v>0</v>
      </c>
      <c r="F11" s="38" t="e">
        <f>VLOOKUP(H$2,Лист2!$A:$H,6,0)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VLOOKUP(H$2,Лист2!$A:$G,6,0)</f>
        <v>#N/A</v>
      </c>
      <c r="N11" s="68" t="e">
        <f>VLOOKUP(N$3,Лист2!$A:$G,6,0)</f>
        <v>#N/A</v>
      </c>
      <c r="O11" s="68" t="e">
        <f>VLOOKUP(O$3,Лист2!$A:$G,6,0)</f>
        <v>#N/A</v>
      </c>
      <c r="P11" s="68" t="e">
        <f>VLOOKUP(P$3,Лист2!$A:$G,6,0)</f>
        <v>#N/A</v>
      </c>
      <c r="Q11" s="68" t="e">
        <f>VLOOKUP(Q$3,Лист2!$A:$G,6,0)</f>
        <v>#N/A</v>
      </c>
      <c r="R11" s="68" t="e">
        <f>VLOOKUP(R$3,Лист2!$A:$G,6,0)</f>
        <v>#N/A</v>
      </c>
      <c r="S11" s="68" t="e">
        <f>VLOOKUP(S$3,Лист2!$A:$G,6,0)</f>
        <v>#N/A</v>
      </c>
      <c r="T11" s="68" t="e">
        <f>VLOOKUP(T$3,Лист2!$A:$G,6,0)</f>
        <v>#N/A</v>
      </c>
      <c r="U11" s="68" t="e">
        <f>VLOOKUP(U$3,Лист2!$A:$G,6,0)</f>
        <v>#N/A</v>
      </c>
      <c r="V11" s="68" t="e">
        <f>VLOOKUP(V$3,Лист2!$A:$G,6,0)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2" t="str">
        <f>Назви!A11</f>
        <v>Термін кредитування (міс.)</v>
      </c>
      <c r="C13" s="253">
        <f>Назви!B11</f>
        <v>0</v>
      </c>
      <c r="D13" s="253">
        <f>Назви!C11</f>
        <v>0</v>
      </c>
      <c r="E13" s="254">
        <f>Назви!D11</f>
        <v>0</v>
      </c>
      <c r="F13" s="64" t="e">
        <f>VLOOKUP(H$2,Лист2!$A:$H,3,0)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VLOOKUP(M$3,Лист2!$A:$G,3,0)</f>
        <v>#N/A</v>
      </c>
      <c r="N13" s="74" t="e">
        <f>VLOOKUP(N$3,Лист2!$A:$G,3,0)</f>
        <v>#N/A</v>
      </c>
      <c r="O13" s="74" t="e">
        <f>VLOOKUP(O$3,Лист2!$A:$G,3,0)</f>
        <v>#N/A</v>
      </c>
      <c r="P13" s="74" t="e">
        <f>VLOOKUP(P$3,Лист2!$A:$G,3,0)</f>
        <v>#N/A</v>
      </c>
      <c r="Q13" s="74" t="e">
        <f>VLOOKUP(Q$3,Лист2!$A:$G,3,0)</f>
        <v>#N/A</v>
      </c>
      <c r="R13" s="74" t="e">
        <f>VLOOKUP(R$3,Лист2!$A:$G,3,0)</f>
        <v>#N/A</v>
      </c>
      <c r="S13" s="74" t="e">
        <f>VLOOKUP(S$3,Лист2!$A:$G,3,0)</f>
        <v>#N/A</v>
      </c>
      <c r="T13" s="74" t="e">
        <f>VLOOKUP(T$3,Лист2!$A:$G,3,0)</f>
        <v>#N/A</v>
      </c>
      <c r="U13" s="74" t="e">
        <f>VLOOKUP(U$3,Лист2!$A:$G,3,0)</f>
        <v>#N/A</v>
      </c>
      <c r="V13" s="74" t="e">
        <f>VLOOKUP(V$3,Лист2!$A:$G,3,0)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55" t="str">
        <f>Назви!A14</f>
        <v>Орієнтовний платіж, грн.</v>
      </c>
      <c r="C16" s="256">
        <f>Назви!B14</f>
        <v>0</v>
      </c>
      <c r="D16" s="256">
        <f>Назви!C14</f>
        <v>0</v>
      </c>
      <c r="E16" s="257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55" t="str">
        <f>Назви!A16</f>
        <v>Орієнтовні загальні витрати за кредитом, грн.</v>
      </c>
      <c r="C18" s="256">
        <f>Назви!B16</f>
        <v>0</v>
      </c>
      <c r="D18" s="256">
        <f>Назви!C16</f>
        <v>0</v>
      </c>
      <c r="E18" s="257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55" t="str">
        <f>Назви!A18</f>
        <v>Орієнтовна загальна вартість кредиту, грн.</v>
      </c>
      <c r="C20" s="256">
        <f>Назви!B18</f>
        <v>0</v>
      </c>
      <c r="D20" s="256">
        <f>Назви!C18</f>
        <v>0</v>
      </c>
      <c r="E20" s="257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1" t="str">
        <f>Назви!A22</f>
        <v>Інший термін</v>
      </c>
      <c r="C22" s="242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0" t="s">
        <v>36</v>
      </c>
      <c r="C23" s="261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0" t="s">
        <v>37</v>
      </c>
      <c r="C24" s="261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0" t="s">
        <v>8</v>
      </c>
      <c r="C25" s="261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0"/>
      <c r="C26" s="261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2" t="str">
        <f>Назви!A29</f>
        <v>Орієнтовний порядок повернення кредиту</v>
      </c>
      <c r="C29" s="263"/>
      <c r="D29" s="263"/>
      <c r="E29" s="263"/>
      <c r="F29" s="263"/>
      <c r="G29" s="263"/>
      <c r="H29" s="264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65" t="str">
        <f>Назви!A30</f>
        <v>Місяць</v>
      </c>
      <c r="C30" s="266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5" t="str">
        <f>Назви!F30</f>
        <v>Сума платежу за розрахунковий період, грн.</v>
      </c>
      <c r="H30" s="266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45918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45948</v>
      </c>
      <c r="D32" s="137" t="e">
        <f>IF(B32&lt;$F$13,$G$16-E32-F32,IF(B32=$F$13,$E$15-SUM($D$31:D31),0))</f>
        <v>#N/A</v>
      </c>
      <c r="E32" s="138" t="e">
        <f>IF(B32&lt;=$F$13,(E$15*(VLOOKUP($H$2,Лист2!$A:$O,12,0)-(B32-1)*VLOOKUP($H$2,Лист2!$A:$O,13,0))),0)</f>
        <v>#N/A</v>
      </c>
      <c r="F32" s="138" t="e">
        <f>ROUND(E$15*F$7*30/365,2)</f>
        <v>#N/A</v>
      </c>
      <c r="G32" s="267" t="e">
        <f t="shared" ref="G32:G91" si="4">D32+E32+F32</f>
        <v>#N/A</v>
      </c>
      <c r="H32" s="268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45979</v>
      </c>
      <c r="D33" s="31" t="e">
        <f>IF(B33&lt;$F$13,$G$16-E33-F33,IF(B33=$F$13,$E$15-SUM($D$31:D32),0))</f>
        <v>#N/A</v>
      </c>
      <c r="E33" s="32" t="e">
        <f>IF(B33&lt;=$F$13,(E$15*(VLOOKUP($H$2,Лист2!$A:$O,12,0)-(B33-1)*VLOOKUP($H$2,Лист2!$A:$O,13,0))),0)</f>
        <v>#N/A</v>
      </c>
      <c r="F33" s="184" t="e">
        <f>ROUND((E$15-SUM(D$32:D32))*F$7*30/365,2)</f>
        <v>#N/A</v>
      </c>
      <c r="G33" s="258" t="e">
        <f t="shared" si="4"/>
        <v>#N/A</v>
      </c>
      <c r="H33" s="259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46009</v>
      </c>
      <c r="D34" s="31" t="e">
        <f>IF(B34&lt;$F$13,$G$16-E34-F34,IF(B34=$F$13,$E$15-SUM($D$31:D33),0))</f>
        <v>#N/A</v>
      </c>
      <c r="E34" s="32" t="e">
        <f>IF(B34&lt;=$F$13,(E$15*(VLOOKUP($H$2,Лист2!$A:$O,12,0)-(B34-1)*VLOOKUP($H$2,Лист2!$A:$O,13,0))),0)</f>
        <v>#N/A</v>
      </c>
      <c r="F34" s="184" t="e">
        <f>ROUND((E$15-SUM(D$32:D33))*F$7*30/365,2)</f>
        <v>#N/A</v>
      </c>
      <c r="G34" s="258" t="e">
        <f t="shared" si="4"/>
        <v>#N/A</v>
      </c>
      <c r="H34" s="259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46040</v>
      </c>
      <c r="D35" s="31" t="e">
        <f>IF(B35&lt;$F$13,$G$16-E35-F35,IF(B35=$F$13,$E$15-SUM($D$31:D34),0))</f>
        <v>#N/A</v>
      </c>
      <c r="E35" s="32" t="e">
        <f>IF(B35&lt;=$F$13,(E$15*(VLOOKUP($H$2,Лист2!$A:$O,12,0)-(B35-1)*VLOOKUP($H$2,Лист2!$A:$O,13,0))),0)</f>
        <v>#N/A</v>
      </c>
      <c r="F35" s="184" t="e">
        <f>ROUND((E$15-SUM(D$32:D34))*F$7*30/365,2)</f>
        <v>#N/A</v>
      </c>
      <c r="G35" s="258" t="e">
        <f t="shared" si="4"/>
        <v>#N/A</v>
      </c>
      <c r="H35" s="259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46071</v>
      </c>
      <c r="D36" s="31" t="e">
        <f>IF(B36&lt;$F$13,$G$16-E36-F36,IF(B36=$F$13,$E$15-SUM($D$31:D35),0))</f>
        <v>#N/A</v>
      </c>
      <c r="E36" s="32" t="e">
        <f>IF(B36&lt;=$F$13,(E$15*(VLOOKUP($H$2,Лист2!$A:$O,12,0)-(B36-1)*VLOOKUP($H$2,Лист2!$A:$O,13,0))),0)</f>
        <v>#N/A</v>
      </c>
      <c r="F36" s="184" t="e">
        <f>ROUND((E$15-SUM(D$32:D35))*F$7*30/365,2)</f>
        <v>#N/A</v>
      </c>
      <c r="G36" s="258" t="e">
        <f t="shared" si="4"/>
        <v>#N/A</v>
      </c>
      <c r="H36" s="259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46099</v>
      </c>
      <c r="D37" s="31" t="e">
        <f>IF(B37&lt;$F$13,$G$16-E37-F37,IF(B37=$F$13,$E$15-SUM($D$31:D36),0))</f>
        <v>#N/A</v>
      </c>
      <c r="E37" s="32" t="e">
        <f>IF(B37&lt;=$F$13,(E$15*(VLOOKUP($H$2,Лист2!$A:$O,12,0)-(B37-1)*VLOOKUP($H$2,Лист2!$A:$O,13,0))),0)</f>
        <v>#N/A</v>
      </c>
      <c r="F37" s="184" t="e">
        <f>ROUND((E$15-SUM(D$32:D36))*F$7*30/365,2)</f>
        <v>#N/A</v>
      </c>
      <c r="G37" s="258" t="e">
        <f t="shared" si="4"/>
        <v>#N/A</v>
      </c>
      <c r="H37" s="259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46130</v>
      </c>
      <c r="D38" s="31" t="e">
        <f>IF(B38&lt;$F$13,$G$16-E38-F38,IF(B38=$F$13,$E$15-SUM($D$31:D37),0))</f>
        <v>#N/A</v>
      </c>
      <c r="E38" s="32" t="e">
        <f>IF(B38&lt;=$F$13,(E$15*(VLOOKUP($H$2,Лист2!$A:$O,12,0)-(B38-1)*VLOOKUP($H$2,Лист2!$A:$O,13,0))),0)</f>
        <v>#N/A</v>
      </c>
      <c r="F38" s="184" t="e">
        <f>ROUND((E$15-SUM(D$32:D37))*F$7*30/365,2)</f>
        <v>#N/A</v>
      </c>
      <c r="G38" s="258" t="e">
        <f t="shared" si="4"/>
        <v>#N/A</v>
      </c>
      <c r="H38" s="259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46160</v>
      </c>
      <c r="D39" s="31" t="e">
        <f>IF(B39&lt;$F$13,$G$16-E39-F39,IF(B39=$F$13,$E$15-SUM($D$31:D38),0))</f>
        <v>#N/A</v>
      </c>
      <c r="E39" s="32" t="e">
        <f>IF(B39&lt;=$F$13,(E$15*(VLOOKUP($H$2,Лист2!$A:$O,12,0)-(B39-1)*VLOOKUP($H$2,Лист2!$A:$O,13,0))),0)</f>
        <v>#N/A</v>
      </c>
      <c r="F39" s="184" t="e">
        <f>ROUND((E$15-SUM(D$32:D38))*F$7*30/365,2)</f>
        <v>#N/A</v>
      </c>
      <c r="G39" s="258" t="e">
        <f t="shared" si="4"/>
        <v>#N/A</v>
      </c>
      <c r="H39" s="259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46191</v>
      </c>
      <c r="D40" s="31" t="e">
        <f>IF(B40&lt;$F$13,$G$16-E40-F40,IF(B40=$F$13,$E$15-SUM($D$31:D39),0))</f>
        <v>#N/A</v>
      </c>
      <c r="E40" s="32" t="e">
        <f>IF(B40&lt;=$F$13,(E$15*(VLOOKUP($H$2,Лист2!$A:$O,12,0)-(B40-1)*VLOOKUP($H$2,Лист2!$A:$O,13,0))),0)</f>
        <v>#N/A</v>
      </c>
      <c r="F40" s="184" t="e">
        <f>ROUND((E$15-SUM(D$32:D39))*F$7*30/365,2)</f>
        <v>#N/A</v>
      </c>
      <c r="G40" s="258" t="e">
        <f t="shared" si="4"/>
        <v>#N/A</v>
      </c>
      <c r="H40" s="259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46221</v>
      </c>
      <c r="D41" s="31" t="e">
        <f>IF(B41&lt;$F$13,$G$16-E41-F41,IF(B41=$F$13,$E$15-SUM($D$31:D40),0))</f>
        <v>#N/A</v>
      </c>
      <c r="E41" s="32" t="e">
        <f>IF(B41&lt;=$F$13,(E$15*(VLOOKUP($H$2,Лист2!$A:$O,12,0)-(B41-1)*VLOOKUP($H$2,Лист2!$A:$O,13,0))),0)</f>
        <v>#N/A</v>
      </c>
      <c r="F41" s="184" t="e">
        <f>ROUND((E$15-SUM(D$32:D40))*F$7*30/365,2)</f>
        <v>#N/A</v>
      </c>
      <c r="G41" s="258" t="e">
        <f t="shared" si="4"/>
        <v>#N/A</v>
      </c>
      <c r="H41" s="259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46252</v>
      </c>
      <c r="D42" s="31" t="e">
        <f>IF(B42&lt;$F$13,$G$16-E42-F42,IF(B42=$F$13,$E$15-SUM($D$31:D41),0))</f>
        <v>#N/A</v>
      </c>
      <c r="E42" s="32" t="e">
        <f>IF(B42&lt;=$F$13,(E$15*(VLOOKUP($H$2,Лист2!$A:$O,12,0)-(B42-1)*VLOOKUP($H$2,Лист2!$A:$O,13,0))),0)</f>
        <v>#N/A</v>
      </c>
      <c r="F42" s="184" t="e">
        <f>ROUND((E$15-SUM(D$32:D41))*F$7*30/365,2)</f>
        <v>#N/A</v>
      </c>
      <c r="G42" s="258" t="e">
        <f t="shared" si="4"/>
        <v>#N/A</v>
      </c>
      <c r="H42" s="259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46283</v>
      </c>
      <c r="D43" s="31" t="e">
        <f>IF(B43&lt;$F$13,$G$16-E43-F43,IF(B43=$F$13,$E$15-SUM($D$31:D42),0))</f>
        <v>#N/A</v>
      </c>
      <c r="E43" s="32" t="e">
        <f>IF(B43&lt;=$F$13,(E$15*(VLOOKUP($H$2,Лист2!$A:$O,12,0)-(B43-1)*VLOOKUP($H$2,Лист2!$A:$O,13,0))),0)</f>
        <v>#N/A</v>
      </c>
      <c r="F43" s="184" t="e">
        <f>ROUND((E$15-SUM(D$32:D42))*F$7*30/365,2)</f>
        <v>#N/A</v>
      </c>
      <c r="G43" s="258" t="e">
        <f t="shared" si="4"/>
        <v>#N/A</v>
      </c>
      <c r="H43" s="259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46313</v>
      </c>
      <c r="D44" s="31" t="e">
        <f>IF(B44&lt;$F$13,$G$16-E44-F44,IF(B44=$F$13,$E$15-SUM($D$31:D43),0))</f>
        <v>#N/A</v>
      </c>
      <c r="E44" s="32" t="e">
        <f>IF(B44&lt;=$F$13,(E$15*(VLOOKUP($H$2,Лист2!$A:$O,12,0)-(B44-1)*VLOOKUP($H$2,Лист2!$A:$O,13,0))),0)</f>
        <v>#N/A</v>
      </c>
      <c r="F44" s="184" t="e">
        <f>ROUND((E$15-SUM(D$32:D43))*F$7*30/365,2)</f>
        <v>#N/A</v>
      </c>
      <c r="G44" s="258" t="e">
        <f t="shared" si="4"/>
        <v>#N/A</v>
      </c>
      <c r="H44" s="259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46344</v>
      </c>
      <c r="D45" s="31" t="e">
        <f>IF(B45&lt;$F$13,$G$16-E45-F45,IF(B45=$F$13,$E$15-SUM($D$31:D44),0))</f>
        <v>#N/A</v>
      </c>
      <c r="E45" s="32" t="e">
        <f>IF(B45&lt;=$F$13,(E$15*(VLOOKUP($H$2,Лист2!$A:$O,12,0)-(B45-1)*VLOOKUP($H$2,Лист2!$A:$O,13,0))),0)</f>
        <v>#N/A</v>
      </c>
      <c r="F45" s="184" t="e">
        <f>ROUND((E$15-SUM(D$32:D44))*F$7*30/365,2)</f>
        <v>#N/A</v>
      </c>
      <c r="G45" s="258" t="e">
        <f t="shared" si="4"/>
        <v>#N/A</v>
      </c>
      <c r="H45" s="259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46374</v>
      </c>
      <c r="D46" s="31" t="e">
        <f>IF(B46&lt;$F$13,$G$16-E46-F46,IF(B46=$F$13,$E$15-SUM($D$31:D45),0))</f>
        <v>#N/A</v>
      </c>
      <c r="E46" s="32" t="e">
        <f>IF(B46&lt;=$F$13,(E$15*(VLOOKUP($H$2,Лист2!$A:$O,12,0)-(B46-1)*VLOOKUP($H$2,Лист2!$A:$O,13,0))),0)</f>
        <v>#N/A</v>
      </c>
      <c r="F46" s="184" t="e">
        <f>ROUND((E$15-SUM(D$32:D45))*F$7*30/365,2)</f>
        <v>#N/A</v>
      </c>
      <c r="G46" s="258" t="e">
        <f t="shared" si="4"/>
        <v>#N/A</v>
      </c>
      <c r="H46" s="259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46405</v>
      </c>
      <c r="D47" s="31" t="e">
        <f>IF(B47&lt;$F$13,$G$16-E47-F47,IF(B47=$F$13,$E$15-SUM($D$31:D46),0))</f>
        <v>#N/A</v>
      </c>
      <c r="E47" s="32" t="e">
        <f>IF(B47&lt;=$F$13,(E$15*(VLOOKUP($H$2,Лист2!$A:$O,12,0)-(B47-1)*VLOOKUP($H$2,Лист2!$A:$O,13,0))),0)</f>
        <v>#N/A</v>
      </c>
      <c r="F47" s="184" t="e">
        <f>ROUND((E$15-SUM(D$32:D46))*F$7*30/365,2)</f>
        <v>#N/A</v>
      </c>
      <c r="G47" s="258" t="e">
        <f t="shared" si="4"/>
        <v>#N/A</v>
      </c>
      <c r="H47" s="259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46436</v>
      </c>
      <c r="D48" s="31" t="e">
        <f>IF(B48&lt;$F$13,$G$16-E48-F48,IF(B48=$F$13,$E$15-SUM($D$31:D47),0))</f>
        <v>#N/A</v>
      </c>
      <c r="E48" s="32" t="e">
        <f>IF(B48&lt;=$F$13,(E$15*(VLOOKUP($H$2,Лист2!$A:$O,12,0)-(B48-1)*VLOOKUP($H$2,Лист2!$A:$O,13,0))),0)</f>
        <v>#N/A</v>
      </c>
      <c r="F48" s="184" t="e">
        <f>ROUND((E$15-SUM(D$32:D47))*F$7*30/365,2)</f>
        <v>#N/A</v>
      </c>
      <c r="G48" s="258" t="e">
        <f t="shared" si="4"/>
        <v>#N/A</v>
      </c>
      <c r="H48" s="259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46464</v>
      </c>
      <c r="D49" s="31" t="e">
        <f>IF(B49&lt;$F$13,$G$16-E49-F49,IF(B49=$F$13,$E$15-SUM($D$31:D48),0))</f>
        <v>#N/A</v>
      </c>
      <c r="E49" s="32" t="e">
        <f>IF(B49&lt;=$F$13,(E$15*(VLOOKUP($H$2,Лист2!$A:$O,12,0)-(B49-1)*VLOOKUP($H$2,Лист2!$A:$O,13,0))),0)</f>
        <v>#N/A</v>
      </c>
      <c r="F49" s="184" t="e">
        <f>ROUND((E$15-SUM(D$32:D48))*F$7*30/365,2)</f>
        <v>#N/A</v>
      </c>
      <c r="G49" s="258" t="e">
        <f t="shared" si="4"/>
        <v>#N/A</v>
      </c>
      <c r="H49" s="259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46495</v>
      </c>
      <c r="D50" s="31" t="e">
        <f>IF(B50&lt;$F$13,$G$16-E50-F50,IF(B50=$F$13,$E$15-SUM($D$31:D49),0))</f>
        <v>#N/A</v>
      </c>
      <c r="E50" s="32" t="e">
        <f>IF(B50&lt;=$F$13,(E$15*(VLOOKUP($H$2,Лист2!$A:$O,12,0)-(B50-1)*VLOOKUP($H$2,Лист2!$A:$O,13,0))),0)</f>
        <v>#N/A</v>
      </c>
      <c r="F50" s="184" t="e">
        <f>ROUND((E$15-SUM(D$32:D49))*F$7*30/365,2)</f>
        <v>#N/A</v>
      </c>
      <c r="G50" s="258" t="e">
        <f t="shared" si="4"/>
        <v>#N/A</v>
      </c>
      <c r="H50" s="259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46525</v>
      </c>
      <c r="D51" s="31" t="e">
        <f>IF(B51&lt;$F$13,$G$16-E51-F51,IF(B51=$F$13,$E$15-SUM($D$31:D50),0))</f>
        <v>#N/A</v>
      </c>
      <c r="E51" s="32" t="e">
        <f>IF(B51&lt;=$F$13,(E$15*(VLOOKUP($H$2,Лист2!$A:$O,12,0)-(B51-1)*VLOOKUP($H$2,Лист2!$A:$O,13,0))),0)</f>
        <v>#N/A</v>
      </c>
      <c r="F51" s="184" t="e">
        <f>ROUND((E$15-SUM(D$32:D50))*F$7*30/365,2)</f>
        <v>#N/A</v>
      </c>
      <c r="G51" s="258" t="e">
        <f t="shared" si="4"/>
        <v>#N/A</v>
      </c>
      <c r="H51" s="259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46556</v>
      </c>
      <c r="D52" s="31" t="e">
        <f>IF(B52&lt;$F$13,$G$16-E52-F52,IF(B52=$F$13,$E$15-SUM($D$31:D51),0))</f>
        <v>#N/A</v>
      </c>
      <c r="E52" s="32" t="e">
        <f>IF(B52&lt;=$F$13,(E$15*(VLOOKUP($H$2,Лист2!$A:$O,12,0)-(B52-1)*VLOOKUP($H$2,Лист2!$A:$O,13,0))),0)</f>
        <v>#N/A</v>
      </c>
      <c r="F52" s="184" t="e">
        <f>ROUND((E$15-SUM(D$32:D51))*F$7*30/365,2)</f>
        <v>#N/A</v>
      </c>
      <c r="G52" s="258" t="e">
        <f t="shared" si="4"/>
        <v>#N/A</v>
      </c>
      <c r="H52" s="259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46586</v>
      </c>
      <c r="D53" s="31" t="e">
        <f>IF(B53&lt;$F$13,$G$16-E53-F53,IF(B53=$F$13,$E$15-SUM($D$31:D52),0))</f>
        <v>#N/A</v>
      </c>
      <c r="E53" s="32" t="e">
        <f>IF(B53&lt;=$F$13,(E$15*(VLOOKUP($H$2,Лист2!$A:$O,12,0)-(B53-1)*VLOOKUP($H$2,Лист2!$A:$O,13,0))),0)</f>
        <v>#N/A</v>
      </c>
      <c r="F53" s="184" t="e">
        <f>ROUND((E$15-SUM(D$32:D52))*F$7*30/365,2)</f>
        <v>#N/A</v>
      </c>
      <c r="G53" s="258" t="e">
        <f t="shared" si="4"/>
        <v>#N/A</v>
      </c>
      <c r="H53" s="259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46617</v>
      </c>
      <c r="D54" s="31" t="e">
        <f>IF(B54&lt;$F$13,$G$16-E54-F54,IF(B54=$F$13,$E$15-SUM($D$31:D53),0))</f>
        <v>#N/A</v>
      </c>
      <c r="E54" s="32" t="e">
        <f>IF(B54&lt;=$F$13,(E$15*(VLOOKUP($H$2,Лист2!$A:$O,12,0)-(B54-1)*VLOOKUP($H$2,Лист2!$A:$O,13,0))),0)</f>
        <v>#N/A</v>
      </c>
      <c r="F54" s="184" t="e">
        <f>ROUND((E$15-SUM(D$32:D53))*F$7*30/365,2)</f>
        <v>#N/A</v>
      </c>
      <c r="G54" s="258" t="e">
        <f t="shared" si="4"/>
        <v>#N/A</v>
      </c>
      <c r="H54" s="259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46648</v>
      </c>
      <c r="D55" s="31" t="e">
        <f>IF(B55&lt;$F$13,$G$16-E55-F55,IF(B55=$F$13,$E$15-SUM($D$31:D54),0))</f>
        <v>#N/A</v>
      </c>
      <c r="E55" s="32" t="e">
        <f>IF(B55&lt;=$F$13,(E$15*(VLOOKUP($H$2,Лист2!$A:$O,12,0)-(B55-1)*VLOOKUP($H$2,Лист2!$A:$O,13,0))),0)</f>
        <v>#N/A</v>
      </c>
      <c r="F55" s="184" t="e">
        <f>ROUND((E$15-SUM(D$32:D54))*F$7*30/365,2)</f>
        <v>#N/A</v>
      </c>
      <c r="G55" s="258" t="e">
        <f t="shared" si="4"/>
        <v>#N/A</v>
      </c>
      <c r="H55" s="259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46678</v>
      </c>
      <c r="D56" s="31" t="e">
        <f>IF(B56&lt;$F$13,$G$16-E56-F56,IF(B56=$F$13,$E$15-SUM($D$31:D55),0))</f>
        <v>#N/A</v>
      </c>
      <c r="E56" s="32" t="e">
        <f>IF(B56&lt;=$F$13,(E$15*(VLOOKUP($H$2,Лист2!$A:$O,12,0)-(B56-1)*VLOOKUP($H$2,Лист2!$A:$O,13,0))),0)</f>
        <v>#N/A</v>
      </c>
      <c r="F56" s="184" t="e">
        <f>ROUND((E$15-SUM(D$32:D55))*F$7*30/365,2)</f>
        <v>#N/A</v>
      </c>
      <c r="G56" s="258" t="e">
        <f t="shared" si="4"/>
        <v>#N/A</v>
      </c>
      <c r="H56" s="259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46709</v>
      </c>
      <c r="D57" s="31" t="e">
        <f>IF(B57&lt;$F$13,$G$16-E57-F57,IF(B57=$F$13,$E$15-SUM($D$31:D56),0))</f>
        <v>#N/A</v>
      </c>
      <c r="E57" s="32" t="e">
        <f>IF(B57&lt;=$F$13,(E$15*(VLOOKUP($H$2,Лист2!$A:$O,12,0)-(B57-1)*VLOOKUP($H$2,Лист2!$A:$O,13,0))),0)</f>
        <v>#N/A</v>
      </c>
      <c r="F57" s="184" t="e">
        <f>ROUND((E$15-SUM(D$32:D56))*F$7*30/365,2)</f>
        <v>#N/A</v>
      </c>
      <c r="G57" s="258" t="e">
        <f t="shared" si="4"/>
        <v>#N/A</v>
      </c>
      <c r="H57" s="259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46739</v>
      </c>
      <c r="D58" s="31" t="e">
        <f>IF(B58&lt;$F$13,$G$16-E58-F58,IF(B58=$F$13,$E$15-SUM($D$31:D57),0))</f>
        <v>#N/A</v>
      </c>
      <c r="E58" s="32" t="e">
        <f>IF(B58&lt;=$F$13,(E$15*(VLOOKUP($H$2,Лист2!$A:$O,12,0)-(B58-1)*VLOOKUP($H$2,Лист2!$A:$O,13,0))),0)</f>
        <v>#N/A</v>
      </c>
      <c r="F58" s="184" t="e">
        <f>ROUND((E$15-SUM(D$32:D57))*F$7*30/365,2)</f>
        <v>#N/A</v>
      </c>
      <c r="G58" s="258" t="e">
        <f t="shared" si="4"/>
        <v>#N/A</v>
      </c>
      <c r="H58" s="259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46770</v>
      </c>
      <c r="D59" s="31" t="e">
        <f>IF(B59&lt;$F$13,$G$16-E59-F59,IF(B59=$F$13,$E$15-SUM($D$31:D58),0))</f>
        <v>#N/A</v>
      </c>
      <c r="E59" s="32" t="e">
        <f>IF(B59&lt;=$F$13,(E$15*(VLOOKUP($H$2,Лист2!$A:$O,12,0)-(B59-1)*VLOOKUP($H$2,Лист2!$A:$O,13,0))),0)</f>
        <v>#N/A</v>
      </c>
      <c r="F59" s="184" t="e">
        <f>ROUND((E$15-SUM(D$32:D58))*F$7*30/365,2)</f>
        <v>#N/A</v>
      </c>
      <c r="G59" s="258" t="e">
        <f t="shared" si="4"/>
        <v>#N/A</v>
      </c>
      <c r="H59" s="259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46801</v>
      </c>
      <c r="D60" s="31" t="e">
        <f>IF(B60&lt;$F$13,$G$16-E60-F60,IF(B60=$F$13,$E$15-SUM($D$31:D59),0))</f>
        <v>#N/A</v>
      </c>
      <c r="E60" s="32" t="e">
        <f>IF(B60&lt;=$F$13,(E$15*(VLOOKUP($H$2,Лист2!$A:$O,12,0)-(B60-1)*VLOOKUP($H$2,Лист2!$A:$O,13,0))),0)</f>
        <v>#N/A</v>
      </c>
      <c r="F60" s="184" t="e">
        <f>ROUND((E$15-SUM(D$32:D59))*F$7*30/365,2)</f>
        <v>#N/A</v>
      </c>
      <c r="G60" s="258" t="e">
        <f t="shared" si="4"/>
        <v>#N/A</v>
      </c>
      <c r="H60" s="259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46830</v>
      </c>
      <c r="D61" s="31" t="e">
        <f>IF(B61&lt;$F$13,$G$16-E61-F61,IF(B61=$F$13,$E$15-SUM($D$31:D60),0))</f>
        <v>#N/A</v>
      </c>
      <c r="E61" s="32" t="e">
        <f>IF(B61&lt;=$F$13,(E$15*(VLOOKUP($H$2,Лист2!$A:$O,12,0)-(B61-1)*VLOOKUP($H$2,Лист2!$A:$O,13,0))),0)</f>
        <v>#N/A</v>
      </c>
      <c r="F61" s="184" t="e">
        <f>ROUND((E$15-SUM(D$32:D60))*F$7*30/365,2)</f>
        <v>#N/A</v>
      </c>
      <c r="G61" s="258" t="e">
        <f t="shared" si="4"/>
        <v>#N/A</v>
      </c>
      <c r="H61" s="259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46861</v>
      </c>
      <c r="D62" s="31" t="e">
        <f>IF(B62&lt;$F$13,$G$16-E62-F62,IF(B62=$F$13,$E$15-SUM($D$31:D61),0))</f>
        <v>#N/A</v>
      </c>
      <c r="E62" s="32" t="e">
        <f>IF(B62&lt;=$F$13,(E$15*(VLOOKUP($H$2,Лист2!$A:$O,12,0)-(B62-1)*VLOOKUP($H$2,Лист2!$A:$O,13,0))),0)</f>
        <v>#N/A</v>
      </c>
      <c r="F62" s="184" t="e">
        <f>ROUND((E$15-SUM(D$32:D61))*F$7*30/365,2)</f>
        <v>#N/A</v>
      </c>
      <c r="G62" s="258" t="e">
        <f t="shared" si="4"/>
        <v>#N/A</v>
      </c>
      <c r="H62" s="259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46891</v>
      </c>
      <c r="D63" s="31" t="e">
        <f>IF(B63&lt;$F$13,$G$16-E63-F63,IF(B63=$F$13,$E$15-SUM($D$31:D62),0))</f>
        <v>#N/A</v>
      </c>
      <c r="E63" s="32" t="e">
        <f>IF(B63&lt;=$F$13,(E$15*(VLOOKUP($H$2,Лист2!$A:$O,12,0)-(B63-1)*VLOOKUP($H$2,Лист2!$A:$O,13,0))),0)</f>
        <v>#N/A</v>
      </c>
      <c r="F63" s="184" t="e">
        <f>ROUND((E$15-SUM(D$32:D62))*F$7*30/365,2)</f>
        <v>#N/A</v>
      </c>
      <c r="G63" s="258" t="e">
        <f t="shared" si="4"/>
        <v>#N/A</v>
      </c>
      <c r="H63" s="259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46922</v>
      </c>
      <c r="D64" s="31" t="e">
        <f>IF(B64&lt;$F$13,$G$16-E64-F64,IF(B64=$F$13,$E$15-SUM($D$31:D63),0))</f>
        <v>#N/A</v>
      </c>
      <c r="E64" s="32" t="e">
        <f>IF(B64&lt;=$F$13,(E$15*(VLOOKUP($H$2,Лист2!$A:$O,12,0)-(B64-1)*VLOOKUP($H$2,Лист2!$A:$O,13,0))),0)</f>
        <v>#N/A</v>
      </c>
      <c r="F64" s="184" t="e">
        <f>ROUND((E$15-SUM(D$32:D63))*F$7*30/365,2)</f>
        <v>#N/A</v>
      </c>
      <c r="G64" s="258" t="e">
        <f t="shared" si="4"/>
        <v>#N/A</v>
      </c>
      <c r="H64" s="259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46952</v>
      </c>
      <c r="D65" s="31" t="e">
        <f>IF(B65&lt;$F$13,$G$16-E65-F65,IF(B65=$F$13,$E$15-SUM($D$31:D64),0))</f>
        <v>#N/A</v>
      </c>
      <c r="E65" s="32" t="e">
        <f>IF(B65&lt;=$F$13,(E$15*(VLOOKUP($H$2,Лист2!$A:$O,12,0)-(B65-1)*VLOOKUP($H$2,Лист2!$A:$O,13,0))),0)</f>
        <v>#N/A</v>
      </c>
      <c r="F65" s="184" t="e">
        <f>ROUND((E$15-SUM(D$32:D64))*F$7*30/365,2)</f>
        <v>#N/A</v>
      </c>
      <c r="G65" s="258" t="e">
        <f t="shared" si="4"/>
        <v>#N/A</v>
      </c>
      <c r="H65" s="259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46983</v>
      </c>
      <c r="D66" s="31" t="e">
        <f>IF(B66&lt;$F$13,$G$16-E66-F66,IF(B66=$F$13,$E$15-SUM($D$31:D65),0))</f>
        <v>#N/A</v>
      </c>
      <c r="E66" s="32" t="e">
        <f>IF(B66&lt;=$F$13,(E$15*(VLOOKUP($H$2,Лист2!$A:$O,12,0)-(B66-1)*VLOOKUP($H$2,Лист2!$A:$O,13,0))),0)</f>
        <v>#N/A</v>
      </c>
      <c r="F66" s="184" t="e">
        <f>ROUND((E$15-SUM(D$32:D65))*F$7*30/365,2)</f>
        <v>#N/A</v>
      </c>
      <c r="G66" s="258" t="e">
        <f t="shared" si="4"/>
        <v>#N/A</v>
      </c>
      <c r="H66" s="259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47014</v>
      </c>
      <c r="D67" s="31" t="e">
        <f>IF(B67&lt;$F$13,$G$16-E67-F67,IF(B67=$F$13,$E$15-SUM($D$31:D66),0))</f>
        <v>#N/A</v>
      </c>
      <c r="E67" s="32" t="e">
        <f>IF(B67&lt;=$F$13,(E$15*(VLOOKUP($H$2,Лист2!$A:$O,12,0)-(B67-1)*VLOOKUP($H$2,Лист2!$A:$O,13,0))),0)</f>
        <v>#N/A</v>
      </c>
      <c r="F67" s="184" t="e">
        <f>ROUND((E$15-SUM(D$32:D66))*F$7*30/365,2)</f>
        <v>#N/A</v>
      </c>
      <c r="G67" s="258" t="e">
        <f t="shared" si="4"/>
        <v>#N/A</v>
      </c>
      <c r="H67" s="259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47044</v>
      </c>
      <c r="D68" s="31" t="e">
        <f>IF(B68&lt;$F$13,$G$16-E68-F68,IF(B68=$F$13,$E$15-SUM($D$31:D67),0))</f>
        <v>#N/A</v>
      </c>
      <c r="E68" s="32" t="e">
        <f>IF(B68&lt;=$F$13,(E$15*(VLOOKUP($H$2,Лист2!$A:$O,12,0)-(B68-1)*VLOOKUP($H$2,Лист2!$A:$O,13,0))),0)</f>
        <v>#N/A</v>
      </c>
      <c r="F68" s="184" t="e">
        <f>ROUND((E$15-SUM(D$32:D67))*F$7*30/365,2)</f>
        <v>#N/A</v>
      </c>
      <c r="G68" s="258" t="e">
        <f t="shared" si="4"/>
        <v>#N/A</v>
      </c>
      <c r="H68" s="259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47075</v>
      </c>
      <c r="D69" s="31" t="e">
        <f>IF(B69&lt;$F$13,$G$16-E69-F69,IF(B69=$F$13,$E$15-SUM($D$31:D68),0))</f>
        <v>#N/A</v>
      </c>
      <c r="E69" s="32" t="e">
        <f>IF(B69&lt;=$F$13,(E$15*(VLOOKUP($H$2,Лист2!$A:$O,12,0)-(B69-1)*VLOOKUP($H$2,Лист2!$A:$O,13,0))),0)</f>
        <v>#N/A</v>
      </c>
      <c r="F69" s="184" t="e">
        <f>ROUND((E$15-SUM(D$32:D68))*F$7*30/365,2)</f>
        <v>#N/A</v>
      </c>
      <c r="G69" s="258" t="e">
        <f t="shared" si="4"/>
        <v>#N/A</v>
      </c>
      <c r="H69" s="259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47105</v>
      </c>
      <c r="D70" s="31" t="e">
        <f>IF(B70&lt;$F$13,$G$16-E70-F70,IF(B70=$F$13,$E$15-SUM($D$31:D69),0))</f>
        <v>#N/A</v>
      </c>
      <c r="E70" s="32" t="e">
        <f>IF(B70&lt;=$F$13,(E$15*(VLOOKUP($H$2,Лист2!$A:$O,12,0)-(B70-1)*VLOOKUP($H$2,Лист2!$A:$O,13,0))),0)</f>
        <v>#N/A</v>
      </c>
      <c r="F70" s="184" t="e">
        <f>ROUND((E$15-SUM(D$32:D69))*F$7*30/365,2)</f>
        <v>#N/A</v>
      </c>
      <c r="G70" s="258" t="e">
        <f t="shared" si="4"/>
        <v>#N/A</v>
      </c>
      <c r="H70" s="259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47136</v>
      </c>
      <c r="D71" s="31" t="e">
        <f>IF(B71&lt;$F$13,$G$16-E71-F71,IF(B71=$F$13,$E$15-SUM($D$31:D70),0))</f>
        <v>#N/A</v>
      </c>
      <c r="E71" s="32" t="e">
        <f>IF(B71&lt;=$F$13,(E$15*(VLOOKUP($H$2,Лист2!$A:$O,12,0)-(B71-1)*VLOOKUP($H$2,Лист2!$A:$O,13,0))),0)</f>
        <v>#N/A</v>
      </c>
      <c r="F71" s="184" t="e">
        <f>ROUND((E$15-SUM(D$32:D70))*F$7*30/365,2)</f>
        <v>#N/A</v>
      </c>
      <c r="G71" s="258" t="e">
        <f t="shared" si="4"/>
        <v>#N/A</v>
      </c>
      <c r="H71" s="259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47167</v>
      </c>
      <c r="D72" s="31" t="e">
        <f>IF(B72&lt;$F$13,$G$16-E72-F72,IF(B72=$F$13,$E$15-SUM($D$31:D71),0))</f>
        <v>#N/A</v>
      </c>
      <c r="E72" s="32" t="e">
        <f>IF(B72&lt;=$F$13,(E$15*(VLOOKUP($H$2,Лист2!$A:$O,12,0)-(B72-1)*VLOOKUP($H$2,Лист2!$A:$O,13,0))),0)</f>
        <v>#N/A</v>
      </c>
      <c r="F72" s="184" t="e">
        <f>ROUND((E$15-SUM(D$32:D71))*F$7*30/365,2)</f>
        <v>#N/A</v>
      </c>
      <c r="G72" s="258" t="e">
        <f t="shared" si="4"/>
        <v>#N/A</v>
      </c>
      <c r="H72" s="259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47195</v>
      </c>
      <c r="D73" s="31" t="e">
        <f>IF(B73&lt;$F$13,$G$16-E73-F73,IF(B73=$F$13,$E$15-SUM($D$31:D72),0))</f>
        <v>#N/A</v>
      </c>
      <c r="E73" s="32" t="e">
        <f>IF(B73&lt;=$F$13,(E$15*(VLOOKUP($H$2,Лист2!$A:$O,12,0)-(B73-1)*VLOOKUP($H$2,Лист2!$A:$O,13,0))),0)</f>
        <v>#N/A</v>
      </c>
      <c r="F73" s="184" t="e">
        <f>ROUND((E$15-SUM(D$32:D72))*F$7*30/365,2)</f>
        <v>#N/A</v>
      </c>
      <c r="G73" s="258" t="e">
        <f t="shared" si="4"/>
        <v>#N/A</v>
      </c>
      <c r="H73" s="259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47226</v>
      </c>
      <c r="D74" s="31" t="e">
        <f>IF(B74&lt;$F$13,$G$16-E74-F74,IF(B74=$F$13,$E$15-SUM($D$31:D73),0))</f>
        <v>#N/A</v>
      </c>
      <c r="E74" s="32" t="e">
        <f>IF(B74&lt;=$F$13,(E$15*(VLOOKUP($H$2,Лист2!$A:$O,12,0)-(B74-1)*VLOOKUP($H$2,Лист2!$A:$O,13,0))),0)</f>
        <v>#N/A</v>
      </c>
      <c r="F74" s="184" t="e">
        <f>ROUND((E$15-SUM(D$32:D73))*F$7*30/365,2)</f>
        <v>#N/A</v>
      </c>
      <c r="G74" s="258" t="e">
        <f t="shared" si="4"/>
        <v>#N/A</v>
      </c>
      <c r="H74" s="259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47256</v>
      </c>
      <c r="D75" s="31" t="e">
        <f>IF(B75&lt;$F$13,$G$16-E75-F75,IF(B75=$F$13,$E$15-SUM($D$31:D74),0))</f>
        <v>#N/A</v>
      </c>
      <c r="E75" s="32" t="e">
        <f>IF(B75&lt;=$F$13,(E$15*(VLOOKUP($H$2,Лист2!$A:$O,12,0)-(B75-1)*VLOOKUP($H$2,Лист2!$A:$O,13,0))),0)</f>
        <v>#N/A</v>
      </c>
      <c r="F75" s="184" t="e">
        <f>ROUND((E$15-SUM(D$32:D74))*F$7*30/365,2)</f>
        <v>#N/A</v>
      </c>
      <c r="G75" s="258" t="e">
        <f t="shared" si="4"/>
        <v>#N/A</v>
      </c>
      <c r="H75" s="259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47287</v>
      </c>
      <c r="D76" s="31" t="e">
        <f>IF(B76&lt;$F$13,$G$16-E76-F76,IF(B76=$F$13,$E$15-SUM($D$31:D75),0))</f>
        <v>#N/A</v>
      </c>
      <c r="E76" s="32" t="e">
        <f>IF(B76&lt;=$F$13,(E$15*(VLOOKUP($H$2,Лист2!$A:$O,12,0)-(B76-1)*VLOOKUP($H$2,Лист2!$A:$O,13,0))),0)</f>
        <v>#N/A</v>
      </c>
      <c r="F76" s="184" t="e">
        <f>ROUND((E$15-SUM(D$32:D75))*F$7*30/365,2)</f>
        <v>#N/A</v>
      </c>
      <c r="G76" s="258" t="e">
        <f t="shared" si="4"/>
        <v>#N/A</v>
      </c>
      <c r="H76" s="259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47317</v>
      </c>
      <c r="D77" s="31" t="e">
        <f>IF(B77&lt;$F$13,$G$16-E77-F77,IF(B77=$F$13,$E$15-SUM($D$31:D76),0))</f>
        <v>#N/A</v>
      </c>
      <c r="E77" s="32" t="e">
        <f>IF(B77&lt;=$F$13,(E$15*(VLOOKUP($H$2,Лист2!$A:$O,12,0)-(B77-1)*VLOOKUP($H$2,Лист2!$A:$O,13,0))),0)</f>
        <v>#N/A</v>
      </c>
      <c r="F77" s="184" t="e">
        <f>ROUND((E$15-SUM(D$32:D76))*F$7*30/365,2)</f>
        <v>#N/A</v>
      </c>
      <c r="G77" s="258" t="e">
        <f t="shared" si="4"/>
        <v>#N/A</v>
      </c>
      <c r="H77" s="259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47348</v>
      </c>
      <c r="D78" s="31" t="e">
        <f>IF(B78&lt;$F$13,$G$16-E78-F78,IF(B78=$F$13,$E$15-SUM($D$31:D77),0))</f>
        <v>#N/A</v>
      </c>
      <c r="E78" s="32" t="e">
        <f>IF(B78&lt;=$F$13,(E$15*(VLOOKUP($H$2,Лист2!$A:$O,12,0)-(B78-1)*VLOOKUP($H$2,Лист2!$A:$O,13,0))),0)</f>
        <v>#N/A</v>
      </c>
      <c r="F78" s="184" t="e">
        <f>ROUND((E$15-SUM(D$32:D77))*F$7*30/365,2)</f>
        <v>#N/A</v>
      </c>
      <c r="G78" s="258" t="e">
        <f t="shared" si="4"/>
        <v>#N/A</v>
      </c>
      <c r="H78" s="259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47379</v>
      </c>
      <c r="D79" s="31" t="e">
        <f>IF(B79&lt;$F$13,$G$16-E79-F79,IF(B79=$F$13,$E$15-SUM($D$31:D78),0))</f>
        <v>#N/A</v>
      </c>
      <c r="E79" s="32" t="e">
        <f>IF(B79&lt;=$F$13,(E$15*(VLOOKUP($H$2,Лист2!$A:$O,12,0)-(B79-1)*VLOOKUP($H$2,Лист2!$A:$O,13,0))),0)</f>
        <v>#N/A</v>
      </c>
      <c r="F79" s="184" t="e">
        <f>ROUND((E$15-SUM(D$32:D78))*F$7*30/365,2)</f>
        <v>#N/A</v>
      </c>
      <c r="G79" s="258" t="e">
        <f t="shared" si="4"/>
        <v>#N/A</v>
      </c>
      <c r="H79" s="259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47409</v>
      </c>
      <c r="D80" s="31" t="e">
        <f>IF(B80&lt;$F$13,$G$16-E80-F80,IF(B80=$F$13,$E$15-SUM($D$31:D79),0))</f>
        <v>#N/A</v>
      </c>
      <c r="E80" s="32" t="e">
        <f>IF(B80&lt;=$F$13,(E$15*(VLOOKUP($H$2,Лист2!$A:$O,12,0)-(B80-1)*VLOOKUP($H$2,Лист2!$A:$O,13,0))),0)</f>
        <v>#N/A</v>
      </c>
      <c r="F80" s="184" t="e">
        <f>ROUND((E$15-SUM(D$32:D79))*F$7*30/365,2)</f>
        <v>#N/A</v>
      </c>
      <c r="G80" s="258" t="e">
        <f t="shared" si="4"/>
        <v>#N/A</v>
      </c>
      <c r="H80" s="259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47440</v>
      </c>
      <c r="D81" s="31" t="e">
        <f>IF(B81&lt;$F$13,$G$16-E81-F81,IF(B81=$F$13,$E$15-SUM($D$31:D80),0))</f>
        <v>#N/A</v>
      </c>
      <c r="E81" s="32" t="e">
        <f>IF(B81&lt;=$F$13,(E$15*(VLOOKUP($H$2,Лист2!$A:$O,12,0)-(B81-1)*VLOOKUP($H$2,Лист2!$A:$O,13,0))),0)</f>
        <v>#N/A</v>
      </c>
      <c r="F81" s="184" t="e">
        <f>ROUND((E$15-SUM(D$32:D80))*F$7*30/365,2)</f>
        <v>#N/A</v>
      </c>
      <c r="G81" s="258" t="e">
        <f t="shared" si="4"/>
        <v>#N/A</v>
      </c>
      <c r="H81" s="259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47470</v>
      </c>
      <c r="D82" s="31" t="e">
        <f>IF(B82&lt;$F$13,$G$16-E82-F82,IF(B82=$F$13,$E$15-SUM($D$31:D81),0))</f>
        <v>#N/A</v>
      </c>
      <c r="E82" s="32" t="e">
        <f>IF(B82&lt;=$F$13,(E$15*(VLOOKUP($H$2,Лист2!$A:$O,12,0)-(B82-1)*VLOOKUP($H$2,Лист2!$A:$O,13,0))),0)</f>
        <v>#N/A</v>
      </c>
      <c r="F82" s="184" t="e">
        <f>ROUND((E$15-SUM(D$32:D81))*F$7*30/365,2)</f>
        <v>#N/A</v>
      </c>
      <c r="G82" s="258" t="e">
        <f t="shared" si="4"/>
        <v>#N/A</v>
      </c>
      <c r="H82" s="259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47501</v>
      </c>
      <c r="D83" s="31" t="e">
        <f>IF(B83&lt;$F$13,$G$16-E83-F83,IF(B83=$F$13,$E$15-SUM($D$31:D82),0))</f>
        <v>#N/A</v>
      </c>
      <c r="E83" s="32" t="e">
        <f>IF(B83&lt;=$F$13,(E$15*(VLOOKUP($H$2,Лист2!$A:$O,12,0)-(B83-1)*VLOOKUP($H$2,Лист2!$A:$O,13,0))),0)</f>
        <v>#N/A</v>
      </c>
      <c r="F83" s="184" t="e">
        <f>ROUND((E$15-SUM(D$32:D82))*F$7*30/365,2)</f>
        <v>#N/A</v>
      </c>
      <c r="G83" s="258" t="e">
        <f t="shared" si="4"/>
        <v>#N/A</v>
      </c>
      <c r="H83" s="259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47532</v>
      </c>
      <c r="D84" s="31" t="e">
        <f>IF(B84&lt;$F$13,$G$16-E84-F84,IF(B84=$F$13,$E$15-SUM($D$31:D83),0))</f>
        <v>#N/A</v>
      </c>
      <c r="E84" s="32" t="e">
        <f>IF(B84&lt;=$F$13,(E$15*(VLOOKUP($H$2,Лист2!$A:$O,12,0)-(B84-1)*VLOOKUP($H$2,Лист2!$A:$O,13,0))),0)</f>
        <v>#N/A</v>
      </c>
      <c r="F84" s="184" t="e">
        <f>ROUND((E$15-SUM(D$32:D83))*F$7*30/365,2)</f>
        <v>#N/A</v>
      </c>
      <c r="G84" s="258" t="e">
        <f t="shared" si="4"/>
        <v>#N/A</v>
      </c>
      <c r="H84" s="259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47560</v>
      </c>
      <c r="D85" s="31" t="e">
        <f>IF(B85&lt;$F$13,$G$16-E85-F85,IF(B85=$F$13,$E$15-SUM($D$31:D84),0))</f>
        <v>#N/A</v>
      </c>
      <c r="E85" s="32" t="e">
        <f>IF(B85&lt;=$F$13,(E$15*(VLOOKUP($H$2,Лист2!$A:$O,12,0)-(B85-1)*VLOOKUP($H$2,Лист2!$A:$O,13,0))),0)</f>
        <v>#N/A</v>
      </c>
      <c r="F85" s="184" t="e">
        <f>ROUND((E$15-SUM(D$32:D84))*F$7*30/365,2)</f>
        <v>#N/A</v>
      </c>
      <c r="G85" s="258" t="e">
        <f t="shared" si="4"/>
        <v>#N/A</v>
      </c>
      <c r="H85" s="259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47591</v>
      </c>
      <c r="D86" s="31" t="e">
        <f>IF(B86&lt;$F$13,$G$16-E86-F86,IF(B86=$F$13,$E$15-SUM($D$31:D85),0))</f>
        <v>#N/A</v>
      </c>
      <c r="E86" s="32" t="e">
        <f>IF(B86&lt;=$F$13,(E$15*(VLOOKUP($H$2,Лист2!$A:$O,12,0)-(B86-1)*VLOOKUP($H$2,Лист2!$A:$O,13,0))),0)</f>
        <v>#N/A</v>
      </c>
      <c r="F86" s="184" t="e">
        <f>ROUND((E$15-SUM(D$32:D85))*F$7*30/365,2)</f>
        <v>#N/A</v>
      </c>
      <c r="G86" s="258" t="e">
        <f t="shared" si="4"/>
        <v>#N/A</v>
      </c>
      <c r="H86" s="259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47621</v>
      </c>
      <c r="D87" s="31" t="e">
        <f>IF(B87&lt;$F$13,$G$16-E87-F87,IF(B87=$F$13,$E$15-SUM($D$31:D86),0))</f>
        <v>#N/A</v>
      </c>
      <c r="E87" s="32" t="e">
        <f>IF(B87&lt;=$F$13,(E$15*(VLOOKUP($H$2,Лист2!$A:$O,12,0)-(B87-1)*VLOOKUP($H$2,Лист2!$A:$O,13,0))),0)</f>
        <v>#N/A</v>
      </c>
      <c r="F87" s="184" t="e">
        <f>ROUND((E$15-SUM(D$32:D86))*F$7*30/365,2)</f>
        <v>#N/A</v>
      </c>
      <c r="G87" s="258" t="e">
        <f t="shared" si="4"/>
        <v>#N/A</v>
      </c>
      <c r="H87" s="259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47652</v>
      </c>
      <c r="D88" s="31" t="e">
        <f>IF(B88&lt;$F$13,$G$16-E88-F88,IF(B88=$F$13,$E$15-SUM($D$31:D87),0))</f>
        <v>#N/A</v>
      </c>
      <c r="E88" s="32" t="e">
        <f>IF(B88&lt;=$F$13,(E$15*(VLOOKUP($H$2,Лист2!$A:$O,12,0)-(B88-1)*VLOOKUP($H$2,Лист2!$A:$O,13,0))),0)</f>
        <v>#N/A</v>
      </c>
      <c r="F88" s="184" t="e">
        <f>ROUND((E$15-SUM(D$32:D87))*F$7*30/365,2)</f>
        <v>#N/A</v>
      </c>
      <c r="G88" s="258" t="e">
        <f t="shared" si="4"/>
        <v>#N/A</v>
      </c>
      <c r="H88" s="259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47682</v>
      </c>
      <c r="D89" s="31" t="e">
        <f>IF(B89&lt;$F$13,$G$16-E89-F89,IF(B89=$F$13,$E$15-SUM($D$31:D88),0))</f>
        <v>#N/A</v>
      </c>
      <c r="E89" s="32" t="e">
        <f>IF(B89&lt;=$F$13,(E$15*(VLOOKUP($H$2,Лист2!$A:$O,12,0)-(B89-1)*VLOOKUP($H$2,Лист2!$A:$O,13,0))),0)</f>
        <v>#N/A</v>
      </c>
      <c r="F89" s="184" t="e">
        <f>ROUND((E$15-SUM(D$32:D88))*F$7*30/365,2)</f>
        <v>#N/A</v>
      </c>
      <c r="G89" s="258" t="e">
        <f t="shared" si="4"/>
        <v>#N/A</v>
      </c>
      <c r="H89" s="259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47713</v>
      </c>
      <c r="D90" s="31" t="e">
        <f>IF(B90&lt;$F$13,$G$16-E90-F90,IF(B90=$F$13,$E$15-SUM($D$31:D89),0))</f>
        <v>#N/A</v>
      </c>
      <c r="E90" s="32" t="e">
        <f>IF(B90&lt;=$F$13,(E$15*(VLOOKUP($H$2,Лист2!$A:$O,12,0)-(B90-1)*VLOOKUP($H$2,Лист2!$A:$O,13,0))),0)</f>
        <v>#N/A</v>
      </c>
      <c r="F90" s="184" t="e">
        <f>ROUND((E$15-SUM(D$32:D89))*F$7*30/365,2)</f>
        <v>#N/A</v>
      </c>
      <c r="G90" s="258" t="e">
        <f t="shared" si="4"/>
        <v>#N/A</v>
      </c>
      <c r="H90" s="259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47744</v>
      </c>
      <c r="D91" s="31" t="e">
        <f>IF(B91&lt;$F$13,$G$16-E91-F91,IF(B91=$F$13,$E$15-SUM($D$31:D90),0))</f>
        <v>#N/A</v>
      </c>
      <c r="E91" s="32" t="e">
        <f>IF(B91&lt;=$F$13,(E$15*(VLOOKUP($H$2,Лист2!$A:$O,12,0)-(B91-1)*VLOOKUP($H$2,Лист2!$A:$O,13,0))),0)</f>
        <v>#N/A</v>
      </c>
      <c r="F91" s="184" t="e">
        <f>ROUND((E$15-SUM(D$32:D90))*F$7*30/365,2)</f>
        <v>#N/A</v>
      </c>
      <c r="G91" s="274" t="e">
        <f t="shared" si="4"/>
        <v>#N/A</v>
      </c>
      <c r="H91" s="275"/>
      <c r="I91" s="134"/>
      <c r="J91" s="134"/>
    </row>
    <row r="92" spans="1:19" ht="16.5" thickBot="1" x14ac:dyDescent="0.25">
      <c r="A92" s="60"/>
      <c r="B92" s="269" t="s">
        <v>3</v>
      </c>
      <c r="C92" s="270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1" t="e">
        <f>SUM(G32:H91)</f>
        <v>#N/A</v>
      </c>
      <c r="H92" s="272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3" t="s">
        <v>5</v>
      </c>
      <c r="F94" s="273"/>
      <c r="G94" s="273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</mergeCells>
  <dataValidations count="1">
    <dataValidation type="list" allowBlank="1" showInputMessage="1" showErrorMessage="1" sqref="H2:I2" xr:uid="{00000000-0002-0000-0300-000000000000}">
      <formula1>$AA$9:$AA$14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>
    <tabColor rgb="FFFF000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6" sqref="F6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29" ht="12.75" customHeight="1" x14ac:dyDescent="0.2">
      <c r="A2" s="2"/>
      <c r="B2" s="61"/>
      <c r="C2" s="61"/>
      <c r="D2" s="61"/>
      <c r="E2" s="139" t="e">
        <f>VLOOKUP('Від 1 000 до 29 999'!H2,Лист2!A:O,14,FALSE)</f>
        <v>#N/A</v>
      </c>
      <c r="F2" s="126" t="e">
        <f>VLOOKUP(H$2,Лист2!$A:$H,2,0)</f>
        <v>#N/A</v>
      </c>
      <c r="G2" s="185">
        <f ca="1">TODAY()</f>
        <v>45918</v>
      </c>
      <c r="H2" s="243" t="s">
        <v>69</v>
      </c>
      <c r="I2" s="244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</row>
    <row r="4" spans="1:29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29" ht="21" customHeight="1" thickBot="1" x14ac:dyDescent="0.25">
      <c r="A5" s="1"/>
      <c r="B5" s="277" t="s">
        <v>82</v>
      </c>
      <c r="C5" s="278"/>
      <c r="D5" s="278"/>
      <c r="E5" s="279"/>
      <c r="F5" s="205">
        <v>10000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2" t="s">
        <v>81</v>
      </c>
      <c r="C7" s="253"/>
      <c r="D7" s="253"/>
      <c r="E7" s="254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 t="e">
        <f>VLOOKUP(H$2,Лист2!$A:$H,4,0)</f>
        <v>#N/A</v>
      </c>
      <c r="G9" s="280"/>
      <c r="H9" s="280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2" t="str">
        <f>Назви!A7</f>
        <v>Разовий страховий тариф, %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 t="e">
        <f>VLOOKUP(H$2,Лист2!$A:$H,5,0)</f>
        <v>#N/A</v>
      </c>
      <c r="G11" s="280"/>
      <c r="H11" s="280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2" t="str">
        <f>Назви!A9</f>
        <v xml:space="preserve">Щомісячна плата за обслуговування кредитної заборгованості, % </v>
      </c>
      <c r="C13" s="253">
        <f>Назви!B9</f>
        <v>0</v>
      </c>
      <c r="D13" s="253">
        <f>Назви!C9</f>
        <v>0</v>
      </c>
      <c r="E13" s="254">
        <f>Назви!D9</f>
        <v>0</v>
      </c>
      <c r="F13" s="38" t="e">
        <f>VLOOKUP(H$2,Лист2!$A:$H,6,0)</f>
        <v>#N/A</v>
      </c>
      <c r="G13" s="280"/>
      <c r="H13" s="280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2" t="str">
        <f>Назви!A11</f>
        <v>Термін кредитування (міс.)</v>
      </c>
      <c r="C15" s="253">
        <f>Назви!B11</f>
        <v>0</v>
      </c>
      <c r="D15" s="253">
        <f>Назви!C11</f>
        <v>0</v>
      </c>
      <c r="E15" s="254">
        <f>Назви!D11</f>
        <v>0</v>
      </c>
      <c r="F15" s="64" t="e">
        <f>VLOOKUP(H$2,Лист2!$A:$H,3,0)</f>
        <v>#N/A</v>
      </c>
      <c r="G15" s="280"/>
      <c r="H15" s="280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55" t="str">
        <f>Назви!A14</f>
        <v>Орієнтовний платіж, грн.</v>
      </c>
      <c r="C18" s="256">
        <f>Назви!B14</f>
        <v>0</v>
      </c>
      <c r="D18" s="256">
        <f>Назви!C14</f>
        <v>0</v>
      </c>
      <c r="E18" s="257">
        <f>Назви!D14</f>
        <v>0</v>
      </c>
      <c r="F18" s="13" t="e">
        <f>PMT(F9/12,F15,-E17)+F13*E17</f>
        <v>#N/A</v>
      </c>
      <c r="G18" s="283"/>
      <c r="H18" s="284"/>
      <c r="I18" s="133"/>
      <c r="J18" s="52"/>
      <c r="K18" s="162" t="str">
        <f>Лист2!A5</f>
        <v xml:space="preserve">Цільовий, 36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 xml:space="preserve">Цільовий, 24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Назви!A16</f>
        <v>Орієнтовні загальні витрати за кредитом, грн.</v>
      </c>
      <c r="C20" s="256">
        <f>Назви!B16</f>
        <v>0</v>
      </c>
      <c r="D20" s="256">
        <f>Назви!C16</f>
        <v>0</v>
      </c>
      <c r="E20" s="257">
        <f>Назви!D16</f>
        <v>0</v>
      </c>
      <c r="F20" s="13" t="e">
        <f>G89-E3</f>
        <v>#N/A</v>
      </c>
      <c r="G20" s="285"/>
      <c r="H20" s="285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 xml:space="preserve">Цільовий, 12 міс. 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Назви!A18</f>
        <v>Орієнтовна загальна вартість кредиту, грн.</v>
      </c>
      <c r="C22" s="256">
        <f>Назви!B18</f>
        <v>0</v>
      </c>
      <c r="D22" s="256">
        <f>Назви!C18</f>
        <v>0</v>
      </c>
      <c r="E22" s="257">
        <f>Назви!D18</f>
        <v>0</v>
      </c>
      <c r="F22" s="13" t="e">
        <f>E3+F20</f>
        <v>#N/A</v>
      </c>
      <c r="G22" s="280"/>
      <c r="H22" s="280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Назви!A20</f>
        <v>Реальна річна процентна ставка, %</v>
      </c>
      <c r="C24" s="256"/>
      <c r="D24" s="256"/>
      <c r="E24" s="257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2" t="str">
        <f>Назви!A29</f>
        <v>Орієнтовний порядок повернення кредиту</v>
      </c>
      <c r="C26" s="263"/>
      <c r="D26" s="263"/>
      <c r="E26" s="263"/>
      <c r="F26" s="263"/>
      <c r="G26" s="263"/>
      <c r="H26" s="264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5" t="str">
        <f>Назви!F30</f>
        <v>Сума платежу за розрахунковий період, грн.</v>
      </c>
      <c r="H27" s="266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45918</v>
      </c>
      <c r="D28" s="113"/>
      <c r="E28" s="114"/>
      <c r="F28" s="113"/>
      <c r="G28" s="281" t="e">
        <f>-1*E3</f>
        <v>#N/A</v>
      </c>
      <c r="H28" s="282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45948</v>
      </c>
      <c r="D29" s="193" t="e">
        <f>IF(B29&lt;$F$15,$F$18-E29-F29,IF(B29=$F$15,$E$17-SUM($D$28:D28),0))</f>
        <v>#N/A</v>
      </c>
      <c r="E29" s="194" t="e">
        <f>IF(B29&lt;=$F$15,(E$17*(VLOOKUP($H$2,Лист2!$A:$O,12,0)-(B29-1)*VLOOKUP($H$2,Лист2!$A:$O,13,0))),0)</f>
        <v>#N/A</v>
      </c>
      <c r="F29" s="194" t="e">
        <f>ROUND(E$17*F$9*30/365,2)</f>
        <v>#N/A</v>
      </c>
      <c r="G29" s="286" t="e">
        <f>SUM(D29:F29)</f>
        <v>#N/A</v>
      </c>
      <c r="H29" s="286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45979</v>
      </c>
      <c r="D30" s="195" t="e">
        <f>IF(B30&lt;$F$15,$F$18-E30-F30,IF(B30=$F$15,$E$17-SUM($D$28:D29),0))</f>
        <v>#N/A</v>
      </c>
      <c r="E30" s="196" t="e">
        <f>IF(B30&lt;=$F$15,(E$17*(VLOOKUP($H$2,Лист2!$A:$O,12,0)-(B30-1)*VLOOKUP($H$2,Лист2!$A:$O,13,0))),0)</f>
        <v>#N/A</v>
      </c>
      <c r="F30" s="197" t="e">
        <f>ROUND((E$17-SUM(D$29:D29))*F$9*30/365,2)</f>
        <v>#N/A</v>
      </c>
      <c r="G30" s="286" t="e">
        <f t="shared" ref="G30:G88" si="1">SUM(D30:F30)</f>
        <v>#N/A</v>
      </c>
      <c r="H30" s="286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46009</v>
      </c>
      <c r="D31" s="195" t="e">
        <f>IF(B31&lt;$F$15,$F$18-E31-F31,IF(B31=$F$15,$E$17-SUM($D$28:D30),0))</f>
        <v>#N/A</v>
      </c>
      <c r="E31" s="196" t="e">
        <f>IF(B31&lt;=$F$15,(E$17*(VLOOKUP($H$2,Лист2!$A:$O,12,0)-(B31-1)*VLOOKUP($H$2,Лист2!$A:$O,13,0))),0)</f>
        <v>#N/A</v>
      </c>
      <c r="F31" s="197" t="e">
        <f>ROUND((E$17-SUM(D$29:D30))*F$9*30/365,2)</f>
        <v>#N/A</v>
      </c>
      <c r="G31" s="286" t="e">
        <f t="shared" si="1"/>
        <v>#N/A</v>
      </c>
      <c r="H31" s="286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46040</v>
      </c>
      <c r="D32" s="195" t="e">
        <f>IF(B32&lt;$F$15,$F$18-E32-F32,IF(B32=$F$15,$E$17-SUM($D$28:D31),0))</f>
        <v>#N/A</v>
      </c>
      <c r="E32" s="196" t="e">
        <f>IF(B32&lt;=$F$15,(E$17*(VLOOKUP($H$2,Лист2!$A:$O,12,0)-(B32-1)*VLOOKUP($H$2,Лист2!$A:$O,13,0))),0)</f>
        <v>#N/A</v>
      </c>
      <c r="F32" s="197" t="e">
        <f>ROUND((E$17-SUM(D$29:D31))*F$9*30/365,2)</f>
        <v>#N/A</v>
      </c>
      <c r="G32" s="286" t="e">
        <f t="shared" si="1"/>
        <v>#N/A</v>
      </c>
      <c r="H32" s="286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46071</v>
      </c>
      <c r="D33" s="195" t="e">
        <f>IF(B33&lt;$F$15,$F$18-E33-F33,IF(B33=$F$15,$E$17-SUM($D$28:D32),0))</f>
        <v>#N/A</v>
      </c>
      <c r="E33" s="196" t="e">
        <f>IF(B33&lt;=$F$15,(E$17*(VLOOKUP($H$2,Лист2!$A:$O,12,0)-(B33-1)*VLOOKUP($H$2,Лист2!$A:$O,13,0))),0)</f>
        <v>#N/A</v>
      </c>
      <c r="F33" s="197" t="e">
        <f>ROUND((E$17-SUM(D$29:D32))*F$9*30/365,2)</f>
        <v>#N/A</v>
      </c>
      <c r="G33" s="286" t="e">
        <f t="shared" si="1"/>
        <v>#N/A</v>
      </c>
      <c r="H33" s="286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46099</v>
      </c>
      <c r="D34" s="195" t="e">
        <f>IF(B34&lt;$F$15,$F$18-E34-F34,IF(B34=$F$15,$E$17-SUM($D$28:D33),0))</f>
        <v>#N/A</v>
      </c>
      <c r="E34" s="196" t="e">
        <f>IF(B34&lt;=$F$15,(E$17*(VLOOKUP($H$2,Лист2!$A:$O,12,0)-(B34-1)*VLOOKUP($H$2,Лист2!$A:$O,13,0))),0)</f>
        <v>#N/A</v>
      </c>
      <c r="F34" s="197" t="e">
        <f>ROUND((E$17-SUM(D$29:D33))*F$9*30/365,2)</f>
        <v>#N/A</v>
      </c>
      <c r="G34" s="286" t="e">
        <f t="shared" si="1"/>
        <v>#N/A</v>
      </c>
      <c r="H34" s="286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46130</v>
      </c>
      <c r="D35" s="195" t="e">
        <f>IF(B35&lt;$F$15,$F$18-E35-F35,IF(B35=$F$15,$E$17-SUM($D$28:D34),0))</f>
        <v>#N/A</v>
      </c>
      <c r="E35" s="196" t="e">
        <f>IF(B35&lt;=$F$15,(E$17*(VLOOKUP($H$2,Лист2!$A:$O,12,0)-(B35-1)*VLOOKUP($H$2,Лист2!$A:$O,13,0))),0)</f>
        <v>#N/A</v>
      </c>
      <c r="F35" s="197" t="e">
        <f>ROUND((E$17-SUM(D$29:D34))*F$9*30/365,2)</f>
        <v>#N/A</v>
      </c>
      <c r="G35" s="286" t="e">
        <f t="shared" si="1"/>
        <v>#N/A</v>
      </c>
      <c r="H35" s="286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46160</v>
      </c>
      <c r="D36" s="195" t="e">
        <f>IF(B36&lt;$F$15,$F$18-E36-F36,IF(B36=$F$15,$E$17-SUM($D$28:D35),0))</f>
        <v>#N/A</v>
      </c>
      <c r="E36" s="196" t="e">
        <f>IF(B36&lt;=$F$15,(E$17*(VLOOKUP($H$2,Лист2!$A:$O,12,0)-(B36-1)*VLOOKUP($H$2,Лист2!$A:$O,13,0))),0)</f>
        <v>#N/A</v>
      </c>
      <c r="F36" s="197" t="e">
        <f>ROUND((E$17-SUM(D$29:D35))*F$9*30/365,2)</f>
        <v>#N/A</v>
      </c>
      <c r="G36" s="286" t="e">
        <f t="shared" si="1"/>
        <v>#N/A</v>
      </c>
      <c r="H36" s="286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46191</v>
      </c>
      <c r="D37" s="195" t="e">
        <f>IF(B37&lt;$F$15,$F$18-E37-F37,IF(B37=$F$15,$E$17-SUM($D$28:D36),0))</f>
        <v>#N/A</v>
      </c>
      <c r="E37" s="196" t="e">
        <f>IF(B37&lt;=$F$15,(E$17*(VLOOKUP($H$2,Лист2!$A:$O,12,0)-(B37-1)*VLOOKUP($H$2,Лист2!$A:$O,13,0))),0)</f>
        <v>#N/A</v>
      </c>
      <c r="F37" s="197" t="e">
        <f>ROUND((E$17-SUM(D$29:D36))*F$9*30/365,2)</f>
        <v>#N/A</v>
      </c>
      <c r="G37" s="286" t="e">
        <f t="shared" si="1"/>
        <v>#N/A</v>
      </c>
      <c r="H37" s="286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46221</v>
      </c>
      <c r="D38" s="195" t="e">
        <f>IF(B38&lt;$F$15,$F$18-E38-F38,IF(B38=$F$15,$E$17-SUM($D$28:D37),0))</f>
        <v>#N/A</v>
      </c>
      <c r="E38" s="196" t="e">
        <f>IF(B38&lt;=$F$15,(E$17*(VLOOKUP($H$2,Лист2!$A:$O,12,0)-(B38-1)*VLOOKUP($H$2,Лист2!$A:$O,13,0))),0)</f>
        <v>#N/A</v>
      </c>
      <c r="F38" s="197" t="e">
        <f>ROUND((E$17-SUM(D$29:D37))*F$9*30/365,2)</f>
        <v>#N/A</v>
      </c>
      <c r="G38" s="286" t="e">
        <f t="shared" si="1"/>
        <v>#N/A</v>
      </c>
      <c r="H38" s="286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46252</v>
      </c>
      <c r="D39" s="195" t="e">
        <f>IF(B39&lt;$F$15,$F$18-E39-F39,IF(B39=$F$15,$E$17-SUM($D$28:D38),0))</f>
        <v>#N/A</v>
      </c>
      <c r="E39" s="196" t="e">
        <f>IF(B39&lt;=$F$15,(E$17*(VLOOKUP($H$2,Лист2!$A:$O,12,0)-(B39-1)*VLOOKUP($H$2,Лист2!$A:$O,13,0))),0)</f>
        <v>#N/A</v>
      </c>
      <c r="F39" s="197" t="e">
        <f>ROUND((E$17-SUM(D$29:D38))*F$9*30/365,2)</f>
        <v>#N/A</v>
      </c>
      <c r="G39" s="286" t="e">
        <f t="shared" si="1"/>
        <v>#N/A</v>
      </c>
      <c r="H39" s="286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46283</v>
      </c>
      <c r="D40" s="195" t="e">
        <f>IF(B40&lt;$F$15,$F$18-E40-F40,IF(B40=$F$15,$E$17-SUM($D$28:D39),0))</f>
        <v>#N/A</v>
      </c>
      <c r="E40" s="196" t="e">
        <f>IF(B40&lt;=$F$15,(E$17*(VLOOKUP($H$2,Лист2!$A:$O,12,0)-(B40-1)*VLOOKUP($H$2,Лист2!$A:$O,13,0))),0)</f>
        <v>#N/A</v>
      </c>
      <c r="F40" s="197" t="e">
        <f>ROUND((E$17-SUM(D$29:D39))*F$9*30/365,2)</f>
        <v>#N/A</v>
      </c>
      <c r="G40" s="286" t="e">
        <f t="shared" si="1"/>
        <v>#N/A</v>
      </c>
      <c r="H40" s="286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46313</v>
      </c>
      <c r="D41" s="195" t="e">
        <f>IF(B41&lt;$F$15,$F$18-E41-F41,IF(B41=$F$15,$E$17-SUM($D$28:D40),0))</f>
        <v>#N/A</v>
      </c>
      <c r="E41" s="196" t="e">
        <f>IF(B41&lt;=$F$15,(E$17*(VLOOKUP($H$2,Лист2!$A:$O,12,0)-(B41-1)*VLOOKUP($H$2,Лист2!$A:$O,13,0))),0)</f>
        <v>#N/A</v>
      </c>
      <c r="F41" s="197" t="e">
        <f>ROUND((E$17-SUM(D$29:D40))*F$9*30/365,2)</f>
        <v>#N/A</v>
      </c>
      <c r="G41" s="286" t="e">
        <f t="shared" si="1"/>
        <v>#N/A</v>
      </c>
      <c r="H41" s="286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46344</v>
      </c>
      <c r="D42" s="195" t="e">
        <f>IF(B42&lt;$F$15,$F$18-E42-F42,IF(B42=$F$15,$E$17-SUM($D$28:D41),0))</f>
        <v>#N/A</v>
      </c>
      <c r="E42" s="196" t="e">
        <f>IF(B42&lt;=$F$15,(E$17*(VLOOKUP($H$2,Лист2!$A:$O,12,0)-(B42-1)*VLOOKUP($H$2,Лист2!$A:$O,13,0))),0)</f>
        <v>#N/A</v>
      </c>
      <c r="F42" s="197" t="e">
        <f>ROUND((E$17-SUM(D$29:D41))*F$9*30/365,2)</f>
        <v>#N/A</v>
      </c>
      <c r="G42" s="286" t="e">
        <f t="shared" si="1"/>
        <v>#N/A</v>
      </c>
      <c r="H42" s="286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46374</v>
      </c>
      <c r="D43" s="195" t="e">
        <f>IF(B43&lt;$F$15,$F$18-E43-F43,IF(B43=$F$15,$E$17-SUM($D$28:D42),0))</f>
        <v>#N/A</v>
      </c>
      <c r="E43" s="196" t="e">
        <f>IF(B43&lt;=$F$15,(E$17*(VLOOKUP($H$2,Лист2!$A:$O,12,0)-(B43-1)*VLOOKUP($H$2,Лист2!$A:$O,13,0))),0)</f>
        <v>#N/A</v>
      </c>
      <c r="F43" s="197" t="e">
        <f>ROUND((E$17-SUM(D$29:D42))*F$9*30/365,2)</f>
        <v>#N/A</v>
      </c>
      <c r="G43" s="286" t="e">
        <f t="shared" si="1"/>
        <v>#N/A</v>
      </c>
      <c r="H43" s="286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46405</v>
      </c>
      <c r="D44" s="195" t="e">
        <f>IF(B44&lt;$F$15,$F$18-E44-F44,IF(B44=$F$15,$E$17-SUM($D$28:D43),0))</f>
        <v>#N/A</v>
      </c>
      <c r="E44" s="196" t="e">
        <f>IF(B44&lt;=$F$15,(E$17*(VLOOKUP($H$2,Лист2!$A:$O,12,0)-(B44-1)*VLOOKUP($H$2,Лист2!$A:$O,13,0))),0)</f>
        <v>#N/A</v>
      </c>
      <c r="F44" s="197" t="e">
        <f>ROUND((E$17-SUM(D$29:D43))*F$9*30/365,2)</f>
        <v>#N/A</v>
      </c>
      <c r="G44" s="286" t="e">
        <f t="shared" si="1"/>
        <v>#N/A</v>
      </c>
      <c r="H44" s="286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46436</v>
      </c>
      <c r="D45" s="195" t="e">
        <f>IF(B45&lt;$F$15,$F$18-E45-F45,IF(B45=$F$15,$E$17-SUM($D$28:D44),0))</f>
        <v>#N/A</v>
      </c>
      <c r="E45" s="196" t="e">
        <f>IF(B45&lt;=$F$15,(E$17*(VLOOKUP($H$2,Лист2!$A:$O,12,0)-(B45-1)*VLOOKUP($H$2,Лист2!$A:$O,13,0))),0)</f>
        <v>#N/A</v>
      </c>
      <c r="F45" s="197" t="e">
        <f>ROUND((E$17-SUM(D$29:D44))*F$9*30/365,2)</f>
        <v>#N/A</v>
      </c>
      <c r="G45" s="286" t="e">
        <f t="shared" si="1"/>
        <v>#N/A</v>
      </c>
      <c r="H45" s="286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46464</v>
      </c>
      <c r="D46" s="195" t="e">
        <f>IF(B46&lt;$F$15,$F$18-E46-F46,IF(B46=$F$15,$E$17-SUM($D$28:D45),0))</f>
        <v>#N/A</v>
      </c>
      <c r="E46" s="196" t="e">
        <f>IF(B46&lt;=$F$15,(E$17*(VLOOKUP($H$2,Лист2!$A:$O,12,0)-(B46-1)*VLOOKUP($H$2,Лист2!$A:$O,13,0))),0)</f>
        <v>#N/A</v>
      </c>
      <c r="F46" s="197" t="e">
        <f>ROUND((E$17-SUM(D$29:D45))*F$9*30/365,2)</f>
        <v>#N/A</v>
      </c>
      <c r="G46" s="286" t="e">
        <f t="shared" si="1"/>
        <v>#N/A</v>
      </c>
      <c r="H46" s="286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46495</v>
      </c>
      <c r="D47" s="195" t="e">
        <f>IF(B47&lt;$F$15,$F$18-E47-F47,IF(B47=$F$15,$E$17-SUM($D$28:D46),0))</f>
        <v>#N/A</v>
      </c>
      <c r="E47" s="196" t="e">
        <f>IF(B47&lt;=$F$15,(E$17*(VLOOKUP($H$2,Лист2!$A:$O,12,0)-(B47-1)*VLOOKUP($H$2,Лист2!$A:$O,13,0))),0)</f>
        <v>#N/A</v>
      </c>
      <c r="F47" s="197" t="e">
        <f>ROUND((E$17-SUM(D$29:D46))*F$9*30/365,2)</f>
        <v>#N/A</v>
      </c>
      <c r="G47" s="286" t="e">
        <f t="shared" si="1"/>
        <v>#N/A</v>
      </c>
      <c r="H47" s="286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46525</v>
      </c>
      <c r="D48" s="195" t="e">
        <f>IF(B48&lt;$F$15,$F$18-E48-F48,IF(B48=$F$15,$E$17-SUM($D$28:D47),0))</f>
        <v>#N/A</v>
      </c>
      <c r="E48" s="196" t="e">
        <f>IF(B48&lt;=$F$15,(E$17*(VLOOKUP($H$2,Лист2!$A:$O,12,0)-(B48-1)*VLOOKUP($H$2,Лист2!$A:$O,13,0))),0)</f>
        <v>#N/A</v>
      </c>
      <c r="F48" s="197" t="e">
        <f>ROUND((E$17-SUM(D$29:D47))*F$9*30/365,2)</f>
        <v>#N/A</v>
      </c>
      <c r="G48" s="286" t="e">
        <f t="shared" si="1"/>
        <v>#N/A</v>
      </c>
      <c r="H48" s="286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46556</v>
      </c>
      <c r="D49" s="195" t="e">
        <f>IF(B49&lt;$F$15,$F$18-E49-F49,IF(B49=$F$15,$E$17-SUM($D$28:D48),0))</f>
        <v>#N/A</v>
      </c>
      <c r="E49" s="196" t="e">
        <f>IF(B49&lt;=$F$15,(E$17*(VLOOKUP($H$2,Лист2!$A:$O,12,0)-(B49-1)*VLOOKUP($H$2,Лист2!$A:$O,13,0))),0)</f>
        <v>#N/A</v>
      </c>
      <c r="F49" s="197" t="e">
        <f>ROUND((E$17-SUM(D$29:D48))*F$9*30/365,2)</f>
        <v>#N/A</v>
      </c>
      <c r="G49" s="286" t="e">
        <f t="shared" si="1"/>
        <v>#N/A</v>
      </c>
      <c r="H49" s="286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46586</v>
      </c>
      <c r="D50" s="195" t="e">
        <f>IF(B50&lt;$F$15,$F$18-E50-F50,IF(B50=$F$15,$E$17-SUM($D$28:D49),0))</f>
        <v>#N/A</v>
      </c>
      <c r="E50" s="196" t="e">
        <f>IF(B50&lt;=$F$15,(E$17*(VLOOKUP($H$2,Лист2!$A:$O,12,0)-(B50-1)*VLOOKUP($H$2,Лист2!$A:$O,13,0))),0)</f>
        <v>#N/A</v>
      </c>
      <c r="F50" s="197" t="e">
        <f>ROUND((E$17-SUM(D$29:D49))*F$9*30/365,2)</f>
        <v>#N/A</v>
      </c>
      <c r="G50" s="286" t="e">
        <f t="shared" si="1"/>
        <v>#N/A</v>
      </c>
      <c r="H50" s="286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46617</v>
      </c>
      <c r="D51" s="195" t="e">
        <f>IF(B51&lt;$F$15,$F$18-E51-F51,IF(B51=$F$15,$E$17-SUM($D$28:D50),0))</f>
        <v>#N/A</v>
      </c>
      <c r="E51" s="196" t="e">
        <f>IF(B51&lt;=$F$15,(E$17*(VLOOKUP($H$2,Лист2!$A:$O,12,0)-(B51-1)*VLOOKUP($H$2,Лист2!$A:$O,13,0))),0)</f>
        <v>#N/A</v>
      </c>
      <c r="F51" s="197" t="e">
        <f>ROUND((E$17-SUM(D$29:D50))*F$9*30/365,2)</f>
        <v>#N/A</v>
      </c>
      <c r="G51" s="286" t="e">
        <f t="shared" si="1"/>
        <v>#N/A</v>
      </c>
      <c r="H51" s="286"/>
      <c r="I51" s="3"/>
    </row>
    <row r="52" spans="1:11" x14ac:dyDescent="0.2">
      <c r="A52" s="60"/>
      <c r="B52" s="128">
        <v>24</v>
      </c>
      <c r="C52" s="132">
        <f t="shared" ca="1" si="0"/>
        <v>46648</v>
      </c>
      <c r="D52" s="195" t="e">
        <f>IF(B52&lt;$F$15,$F$18-E52-F52,IF(B52=$F$15,$E$17-SUM($D$28:D51),0))</f>
        <v>#N/A</v>
      </c>
      <c r="E52" s="196" t="e">
        <f>IF(B52&lt;=$F$15,(E$17*(VLOOKUP($H$2,Лист2!$A:$O,12,0)-(B52-1)*VLOOKUP($H$2,Лист2!$A:$O,13,0))),0)</f>
        <v>#N/A</v>
      </c>
      <c r="F52" s="197" t="e">
        <f>ROUND((E$17-SUM(D$29:D51))*F$9*30/365,2)</f>
        <v>#N/A</v>
      </c>
      <c r="G52" s="286" t="e">
        <f t="shared" si="1"/>
        <v>#N/A</v>
      </c>
      <c r="H52" s="286"/>
      <c r="I52" s="3"/>
    </row>
    <row r="53" spans="1:11" x14ac:dyDescent="0.2">
      <c r="A53" s="60"/>
      <c r="B53" s="128">
        <v>25</v>
      </c>
      <c r="C53" s="132">
        <f t="shared" ca="1" si="0"/>
        <v>46678</v>
      </c>
      <c r="D53" s="195" t="e">
        <f>IF(B53&lt;$F$15,$F$18-E53-F53,IF(B53=$F$15,$E$17-SUM($D$28:D52),0))</f>
        <v>#N/A</v>
      </c>
      <c r="E53" s="196" t="e">
        <f>IF(B53&lt;=$F$15,(E$17*(VLOOKUP($H$2,Лист2!$A:$O,12,0)-(B53-1)*VLOOKUP($H$2,Лист2!$A:$O,13,0))),0)</f>
        <v>#N/A</v>
      </c>
      <c r="F53" s="197" t="e">
        <f>ROUND((E$17-SUM(D$29:D52))*F$9*30/365,2)</f>
        <v>#N/A</v>
      </c>
      <c r="G53" s="286" t="e">
        <f t="shared" si="1"/>
        <v>#N/A</v>
      </c>
      <c r="H53" s="286"/>
      <c r="I53" s="3"/>
    </row>
    <row r="54" spans="1:11" x14ac:dyDescent="0.2">
      <c r="A54" s="60"/>
      <c r="B54" s="128">
        <v>26</v>
      </c>
      <c r="C54" s="132">
        <f t="shared" ca="1" si="0"/>
        <v>46709</v>
      </c>
      <c r="D54" s="195" t="e">
        <f>IF(B54&lt;$F$15,$F$18-E54-F54,IF(B54=$F$15,$E$17-SUM($D$28:D53),0))</f>
        <v>#N/A</v>
      </c>
      <c r="E54" s="196" t="e">
        <f>IF(B54&lt;=$F$15,(E$17*(VLOOKUP($H$2,Лист2!$A:$O,12,0)-(B54-1)*VLOOKUP($H$2,Лист2!$A:$O,13,0))),0)</f>
        <v>#N/A</v>
      </c>
      <c r="F54" s="197" t="e">
        <f>ROUND((E$17-SUM(D$29:D53))*F$9*30/365,2)</f>
        <v>#N/A</v>
      </c>
      <c r="G54" s="286" t="e">
        <f t="shared" si="1"/>
        <v>#N/A</v>
      </c>
      <c r="H54" s="286"/>
      <c r="I54" s="3"/>
    </row>
    <row r="55" spans="1:11" x14ac:dyDescent="0.2">
      <c r="A55" s="60"/>
      <c r="B55" s="128">
        <v>27</v>
      </c>
      <c r="C55" s="132">
        <f t="shared" ca="1" si="0"/>
        <v>46739</v>
      </c>
      <c r="D55" s="195" t="e">
        <f>IF(B55&lt;$F$15,$F$18-E55-F55,IF(B55=$F$15,$E$17-SUM($D$28:D54),0))</f>
        <v>#N/A</v>
      </c>
      <c r="E55" s="196" t="e">
        <f>IF(B55&lt;=$F$15,(E$17*(VLOOKUP($H$2,Лист2!$A:$O,12,0)-(B55-1)*VLOOKUP($H$2,Лист2!$A:$O,13,0))),0)</f>
        <v>#N/A</v>
      </c>
      <c r="F55" s="197" t="e">
        <f>ROUND((E$17-SUM(D$29:D54))*F$9*30/365,2)</f>
        <v>#N/A</v>
      </c>
      <c r="G55" s="286" t="e">
        <f t="shared" si="1"/>
        <v>#N/A</v>
      </c>
      <c r="H55" s="286"/>
      <c r="I55" s="3"/>
    </row>
    <row r="56" spans="1:11" x14ac:dyDescent="0.2">
      <c r="A56" s="60"/>
      <c r="B56" s="128">
        <v>28</v>
      </c>
      <c r="C56" s="132">
        <f t="shared" ca="1" si="0"/>
        <v>46770</v>
      </c>
      <c r="D56" s="195" t="e">
        <f>IF(B56&lt;$F$15,$F$18-E56-F56,IF(B56=$F$15,$E$17-SUM($D$28:D55),0))</f>
        <v>#N/A</v>
      </c>
      <c r="E56" s="196" t="e">
        <f>IF(B56&lt;=$F$15,(E$17*(VLOOKUP($H$2,Лист2!$A:$O,12,0)-(B56-1)*VLOOKUP($H$2,Лист2!$A:$O,13,0))),0)</f>
        <v>#N/A</v>
      </c>
      <c r="F56" s="197" t="e">
        <f>ROUND((E$17-SUM(D$29:D55))*F$9*30/365,2)</f>
        <v>#N/A</v>
      </c>
      <c r="G56" s="286" t="e">
        <f t="shared" si="1"/>
        <v>#N/A</v>
      </c>
      <c r="H56" s="286"/>
      <c r="I56" s="3"/>
    </row>
    <row r="57" spans="1:11" x14ac:dyDescent="0.2">
      <c r="A57" s="60"/>
      <c r="B57" s="128">
        <v>29</v>
      </c>
      <c r="C57" s="132">
        <f t="shared" ca="1" si="0"/>
        <v>46801</v>
      </c>
      <c r="D57" s="195" t="e">
        <f>IF(B57&lt;$F$15,$F$18-E57-F57,IF(B57=$F$15,$E$17-SUM($D$28:D56),0))</f>
        <v>#N/A</v>
      </c>
      <c r="E57" s="196" t="e">
        <f>IF(B57&lt;=$F$15,(E$17*(VLOOKUP($H$2,Лист2!$A:$O,12,0)-(B57-1)*VLOOKUP($H$2,Лист2!$A:$O,13,0))),0)</f>
        <v>#N/A</v>
      </c>
      <c r="F57" s="197" t="e">
        <f>ROUND((E$17-SUM(D$29:D56))*F$9*30/365,2)</f>
        <v>#N/A</v>
      </c>
      <c r="G57" s="286" t="e">
        <f t="shared" si="1"/>
        <v>#N/A</v>
      </c>
      <c r="H57" s="286"/>
      <c r="I57" s="3"/>
    </row>
    <row r="58" spans="1:11" x14ac:dyDescent="0.2">
      <c r="A58" s="60">
        <v>25</v>
      </c>
      <c r="B58" s="128">
        <v>30</v>
      </c>
      <c r="C58" s="132">
        <f t="shared" ca="1" si="0"/>
        <v>46830</v>
      </c>
      <c r="D58" s="195" t="e">
        <f>IF(B58&lt;$F$15,$F$18-E58-F58,IF(B58=$F$15,$E$17-SUM($D$28:D57),0))</f>
        <v>#N/A</v>
      </c>
      <c r="E58" s="196" t="e">
        <f>IF(B58&lt;=$F$15,(E$17*(VLOOKUP($H$2,Лист2!$A:$O,12,0)-(B58-1)*VLOOKUP($H$2,Лист2!$A:$O,13,0))),0)</f>
        <v>#N/A</v>
      </c>
      <c r="F58" s="197" t="e">
        <f>ROUND((E$17-SUM(D$29:D57))*F$9*30/365,2)</f>
        <v>#N/A</v>
      </c>
      <c r="G58" s="286" t="e">
        <f t="shared" si="1"/>
        <v>#N/A</v>
      </c>
      <c r="H58" s="286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46861</v>
      </c>
      <c r="D59" s="195" t="e">
        <f>IF(B59&lt;$F$15,$F$18-E59-F59,IF(B59=$F$15,$E$17-SUM($D$28:D58),0))</f>
        <v>#N/A</v>
      </c>
      <c r="E59" s="196" t="e">
        <f>IF(B59&lt;=$F$15,(E$17*(VLOOKUP($H$2,Лист2!$A:$O,12,0)-(B59-1)*VLOOKUP($H$2,Лист2!$A:$O,13,0))),0)</f>
        <v>#N/A</v>
      </c>
      <c r="F59" s="197" t="e">
        <f>ROUND((E$17-SUM(D$29:D58))*F$9*30/365,2)</f>
        <v>#N/A</v>
      </c>
      <c r="G59" s="286" t="e">
        <f t="shared" si="1"/>
        <v>#N/A</v>
      </c>
      <c r="H59" s="286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46891</v>
      </c>
      <c r="D60" s="195" t="e">
        <f>IF(B60&lt;$F$15,$F$18-E60-F60,IF(B60=$F$15,$E$17-SUM($D$28:D59),0))</f>
        <v>#N/A</v>
      </c>
      <c r="E60" s="196" t="e">
        <f>IF(B60&lt;=$F$15,(E$17*(VLOOKUP($H$2,Лист2!$A:$O,12,0)-(B60-1)*VLOOKUP($H$2,Лист2!$A:$O,13,0))),0)</f>
        <v>#N/A</v>
      </c>
      <c r="F60" s="197" t="e">
        <f>ROUND((E$17-SUM(D$29:D59))*F$9*30/365,2)</f>
        <v>#N/A</v>
      </c>
      <c r="G60" s="286" t="e">
        <f t="shared" si="1"/>
        <v>#N/A</v>
      </c>
      <c r="H60" s="286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46922</v>
      </c>
      <c r="D61" s="195" t="e">
        <f>IF(B61&lt;$F$15,$F$18-E61-F61,IF(B61=$F$15,$E$17-SUM($D$28:D60),0))</f>
        <v>#N/A</v>
      </c>
      <c r="E61" s="196" t="e">
        <f>IF(B61&lt;=$F$15,(E$17*(VLOOKUP($H$2,Лист2!$A:$O,12,0)-(B61-1)*VLOOKUP($H$2,Лист2!$A:$O,13,0))),0)</f>
        <v>#N/A</v>
      </c>
      <c r="F61" s="197" t="e">
        <f>ROUND((E$17-SUM(D$29:D60))*F$9*30/365,2)</f>
        <v>#N/A</v>
      </c>
      <c r="G61" s="286" t="e">
        <f t="shared" si="1"/>
        <v>#N/A</v>
      </c>
      <c r="H61" s="286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46952</v>
      </c>
      <c r="D62" s="195" t="e">
        <f>IF(B62&lt;$F$15,$F$18-E62-F62,IF(B62=$F$15,$E$17-SUM($D$28:D61),0))</f>
        <v>#N/A</v>
      </c>
      <c r="E62" s="196" t="e">
        <f>IF(B62&lt;=$F$15,(E$17*(VLOOKUP($H$2,Лист2!$A:$O,12,0)-(B62-1)*VLOOKUP($H$2,Лист2!$A:$O,13,0))),0)</f>
        <v>#N/A</v>
      </c>
      <c r="F62" s="197" t="e">
        <f>ROUND((E$17-SUM(D$29:D61))*F$9*30/365,2)</f>
        <v>#N/A</v>
      </c>
      <c r="G62" s="286" t="e">
        <f t="shared" si="1"/>
        <v>#N/A</v>
      </c>
      <c r="H62" s="286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46983</v>
      </c>
      <c r="D63" s="195" t="e">
        <f>IF(B63&lt;$F$15,$F$18-E63-F63,IF(B63=$F$15,$E$17-SUM($D$28:D62),0))</f>
        <v>#N/A</v>
      </c>
      <c r="E63" s="196" t="e">
        <f>IF(B63&lt;=$F$15,(E$17*(VLOOKUP($H$2,Лист2!$A:$O,12,0)-(B63-1)*VLOOKUP($H$2,Лист2!$A:$O,13,0))),0)</f>
        <v>#N/A</v>
      </c>
      <c r="F63" s="197" t="e">
        <f>ROUND((E$17-SUM(D$29:D62))*F$9*30/365,2)</f>
        <v>#N/A</v>
      </c>
      <c r="G63" s="286" t="e">
        <f t="shared" si="1"/>
        <v>#N/A</v>
      </c>
      <c r="H63" s="286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47014</v>
      </c>
      <c r="D64" s="195" t="e">
        <f>IF(B64&lt;$F$15,$F$18-E64-F64,IF(B64=$F$15,$E$17-SUM($D$28:D63),0))</f>
        <v>#N/A</v>
      </c>
      <c r="E64" s="196" t="e">
        <f>IF(B64&lt;=$F$15,(E$17*(VLOOKUP($H$2,Лист2!$A:$O,12,0)-(B64-1)*VLOOKUP($H$2,Лист2!$A:$O,13,0))),0)</f>
        <v>#N/A</v>
      </c>
      <c r="F64" s="197" t="e">
        <f>ROUND((E$17-SUM(D$29:D63))*F$9*30/365,2)</f>
        <v>#N/A</v>
      </c>
      <c r="G64" s="286" t="e">
        <f t="shared" si="1"/>
        <v>#N/A</v>
      </c>
      <c r="H64" s="286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47044</v>
      </c>
      <c r="D65" s="195" t="e">
        <f>IF(B65&lt;$F$15,$F$18-E65-F65,IF(B65=$F$15,$E$17-SUM($D$28:D64),0))</f>
        <v>#N/A</v>
      </c>
      <c r="E65" s="196" t="e">
        <f>IF(B65&lt;=$F$15,(E$17*(VLOOKUP($H$2,Лист2!$A:$O,12,0)-(B65-1)*VLOOKUP($H$2,Лист2!$A:$O,13,0))),0)</f>
        <v>#N/A</v>
      </c>
      <c r="F65" s="197" t="e">
        <f>ROUND((E$17-SUM(D$29:D64))*F$9*30/365,2)</f>
        <v>#N/A</v>
      </c>
      <c r="G65" s="286" t="e">
        <f t="shared" si="1"/>
        <v>#N/A</v>
      </c>
      <c r="H65" s="286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47075</v>
      </c>
      <c r="D66" s="195" t="e">
        <f>IF(B66&lt;$F$15,$F$18-E66-F66,IF(B66=$F$15,$E$17-SUM($D$28:D65),0))</f>
        <v>#N/A</v>
      </c>
      <c r="E66" s="196" t="e">
        <f>IF(B66&lt;=$F$15,(E$17*(VLOOKUP($H$2,Лист2!$A:$O,12,0)-(B66-1)*VLOOKUP($H$2,Лист2!$A:$O,13,0))),0)</f>
        <v>#N/A</v>
      </c>
      <c r="F66" s="197" t="e">
        <f>ROUND((E$17-SUM(D$29:D65))*F$9*30/365,2)</f>
        <v>#N/A</v>
      </c>
      <c r="G66" s="286" t="e">
        <f t="shared" si="1"/>
        <v>#N/A</v>
      </c>
      <c r="H66" s="286"/>
      <c r="I66" s="134"/>
      <c r="J66" s="134"/>
    </row>
    <row r="67" spans="1:10" x14ac:dyDescent="0.2">
      <c r="A67" s="60"/>
      <c r="B67" s="128">
        <v>39</v>
      </c>
      <c r="C67" s="132">
        <f t="shared" ca="1" si="0"/>
        <v>47105</v>
      </c>
      <c r="D67" s="195" t="e">
        <f>IF(B67&lt;$F$15,$F$18-E67-F67,IF(B67=$F$15,$E$17-SUM($D$28:D66),0))</f>
        <v>#N/A</v>
      </c>
      <c r="E67" s="196" t="e">
        <f>IF(B67&lt;=$F$15,(E$17*(VLOOKUP($H$2,Лист2!$A:$O,12,0)-(B67-1)*VLOOKUP($H$2,Лист2!$A:$O,13,0))),0)</f>
        <v>#N/A</v>
      </c>
      <c r="F67" s="197" t="e">
        <f>ROUND((E$17-SUM(D$29:D66))*F$9*30/365,2)</f>
        <v>#N/A</v>
      </c>
      <c r="G67" s="286" t="e">
        <f t="shared" si="1"/>
        <v>#N/A</v>
      </c>
      <c r="H67" s="286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47136</v>
      </c>
      <c r="D68" s="195" t="e">
        <f>IF(B68&lt;$F$15,$F$18-E68-F68,IF(B68=$F$15,$E$17-SUM($D$28:D67),0))</f>
        <v>#N/A</v>
      </c>
      <c r="E68" s="196" t="e">
        <f>IF(B68&lt;=$F$15,(E$17*(VLOOKUP($H$2,Лист2!$A:$O,12,0)-(B68-1)*VLOOKUP($H$2,Лист2!$A:$O,13,0))),0)</f>
        <v>#N/A</v>
      </c>
      <c r="F68" s="197" t="e">
        <f>ROUND((E$17-SUM(D$29:D67))*F$9*30/365,2)</f>
        <v>#N/A</v>
      </c>
      <c r="G68" s="286" t="e">
        <f t="shared" si="1"/>
        <v>#N/A</v>
      </c>
      <c r="H68" s="286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47167</v>
      </c>
      <c r="D69" s="195" t="e">
        <f>IF(B69&lt;$F$15,$F$18-E69-F69,IF(B69=$F$15,$E$17-SUM($D$28:D68),0))</f>
        <v>#N/A</v>
      </c>
      <c r="E69" s="196" t="e">
        <f>IF(B69&lt;=$F$15,(E$17*(VLOOKUP($H$2,Лист2!$A:$O,12,0)-(B69-1)*VLOOKUP($H$2,Лист2!$A:$O,13,0))),0)</f>
        <v>#N/A</v>
      </c>
      <c r="F69" s="197" t="e">
        <f>ROUND((E$17-SUM(D$29:D68))*F$9*30/365,2)</f>
        <v>#N/A</v>
      </c>
      <c r="G69" s="286" t="e">
        <f t="shared" si="1"/>
        <v>#N/A</v>
      </c>
      <c r="H69" s="286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47195</v>
      </c>
      <c r="D70" s="195" t="e">
        <f>IF(B70&lt;$F$15,$F$18-E70-F70,IF(B70=$F$15,$E$17-SUM($D$28:D69),0))</f>
        <v>#N/A</v>
      </c>
      <c r="E70" s="196" t="e">
        <f>IF(B70&lt;=$F$15,(E$17*(VLOOKUP($H$2,Лист2!$A:$O,12,0)-(B70-1)*VLOOKUP($H$2,Лист2!$A:$O,13,0))),0)</f>
        <v>#N/A</v>
      </c>
      <c r="F70" s="197" t="e">
        <f>ROUND((E$17-SUM(D$29:D69))*F$9*30/365,2)</f>
        <v>#N/A</v>
      </c>
      <c r="G70" s="286" t="e">
        <f t="shared" si="1"/>
        <v>#N/A</v>
      </c>
      <c r="H70" s="286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47226</v>
      </c>
      <c r="D71" s="195" t="e">
        <f>IF(B71&lt;$F$15,$F$18-E71-F71,IF(B71=$F$15,$E$17-SUM($D$28:D70),0))</f>
        <v>#N/A</v>
      </c>
      <c r="E71" s="196" t="e">
        <f>IF(B71&lt;=$F$15,(E$17*(VLOOKUP($H$2,Лист2!$A:$O,12,0)-(B71-1)*VLOOKUP($H$2,Лист2!$A:$O,13,0))),0)</f>
        <v>#N/A</v>
      </c>
      <c r="F71" s="197" t="e">
        <f>ROUND((E$17-SUM(D$29:D70))*F$9*30/365,2)</f>
        <v>#N/A</v>
      </c>
      <c r="G71" s="286" t="e">
        <f t="shared" si="1"/>
        <v>#N/A</v>
      </c>
      <c r="H71" s="286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47256</v>
      </c>
      <c r="D72" s="195" t="e">
        <f>IF(B72&lt;$F$15,$F$18-E72-F72,IF(B72=$F$15,$E$17-SUM($D$28:D71),0))</f>
        <v>#N/A</v>
      </c>
      <c r="E72" s="196" t="e">
        <f>IF(B72&lt;=$F$15,(E$17*(VLOOKUP($H$2,Лист2!$A:$O,12,0)-(B72-1)*VLOOKUP($H$2,Лист2!$A:$O,13,0))),0)</f>
        <v>#N/A</v>
      </c>
      <c r="F72" s="197" t="e">
        <f>ROUND((E$17-SUM(D$29:D71))*F$9*30/365,2)</f>
        <v>#N/A</v>
      </c>
      <c r="G72" s="286" t="e">
        <f t="shared" si="1"/>
        <v>#N/A</v>
      </c>
      <c r="H72" s="286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47287</v>
      </c>
      <c r="D73" s="195" t="e">
        <f>IF(B73&lt;$F$15,$F$18-E73-F73,IF(B73=$F$15,$E$17-SUM($D$28:D72),0))</f>
        <v>#N/A</v>
      </c>
      <c r="E73" s="196" t="e">
        <f>IF(B73&lt;=$F$15,(E$17*(VLOOKUP($H$2,Лист2!$A:$O,12,0)-(B73-1)*VLOOKUP($H$2,Лист2!$A:$O,13,0))),0)</f>
        <v>#N/A</v>
      </c>
      <c r="F73" s="197" t="e">
        <f>ROUND((E$17-SUM(D$29:D72))*F$9*30/365,2)</f>
        <v>#N/A</v>
      </c>
      <c r="G73" s="286" t="e">
        <f t="shared" si="1"/>
        <v>#N/A</v>
      </c>
      <c r="H73" s="286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47317</v>
      </c>
      <c r="D74" s="195" t="e">
        <f>IF(B74&lt;$F$15,$F$18-E74-F74,IF(B74=$F$15,$E$17-SUM($D$28:D73),0))</f>
        <v>#N/A</v>
      </c>
      <c r="E74" s="196" t="e">
        <f>IF(B74&lt;=$F$15,(E$17*(VLOOKUP($H$2,Лист2!$A:$O,12,0)-(B74-1)*VLOOKUP($H$2,Лист2!$A:$O,13,0))),0)</f>
        <v>#N/A</v>
      </c>
      <c r="F74" s="197" t="e">
        <f>ROUND((E$17-SUM(D$29:D73))*F$9*30/365,2)</f>
        <v>#N/A</v>
      </c>
      <c r="G74" s="286" t="e">
        <f t="shared" si="1"/>
        <v>#N/A</v>
      </c>
      <c r="H74" s="286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47348</v>
      </c>
      <c r="D75" s="195" t="e">
        <f>IF(B75&lt;$F$15,$F$18-E75-F75,IF(B75=$F$15,$E$17-SUM($D$28:D74),0))</f>
        <v>#N/A</v>
      </c>
      <c r="E75" s="196" t="e">
        <f>IF(B75&lt;=$F$15,(E$17*(VLOOKUP($H$2,Лист2!$A:$O,12,0)-(B75-1)*VLOOKUP($H$2,Лист2!$A:$O,13,0))),0)</f>
        <v>#N/A</v>
      </c>
      <c r="F75" s="197" t="e">
        <f>ROUND((E$17-SUM(D$29:D74))*F$9*30/365,2)</f>
        <v>#N/A</v>
      </c>
      <c r="G75" s="286" t="e">
        <f t="shared" si="1"/>
        <v>#N/A</v>
      </c>
      <c r="H75" s="286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47379</v>
      </c>
      <c r="D76" s="195" t="e">
        <f>IF(B76&lt;$F$15,$F$18-E76-F76,IF(B76=$F$15,$E$17-SUM($D$28:D75),0))</f>
        <v>#N/A</v>
      </c>
      <c r="E76" s="196" t="e">
        <f>IF(B76&lt;=$F$15,(E$17*(VLOOKUP($H$2,Лист2!$A:$O,12,0)-(B76-1)*VLOOKUP($H$2,Лист2!$A:$O,13,0))),0)</f>
        <v>#N/A</v>
      </c>
      <c r="F76" s="197" t="e">
        <f>ROUND((E$17-SUM(D$29:D75))*F$9*30/365,2)</f>
        <v>#N/A</v>
      </c>
      <c r="G76" s="286" t="e">
        <f t="shared" si="1"/>
        <v>#N/A</v>
      </c>
      <c r="H76" s="286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47409</v>
      </c>
      <c r="D77" s="195" t="e">
        <f>IF(B77&lt;$F$15,$F$18-E77-F77,IF(B77=$F$15,$E$17-SUM($D$28:D76),0))</f>
        <v>#N/A</v>
      </c>
      <c r="E77" s="196" t="e">
        <f>IF(B77&lt;=$F$15,(E$17*(VLOOKUP($H$2,Лист2!$A:$O,12,0)-(B77-1)*VLOOKUP($H$2,Лист2!$A:$O,13,0))),0)</f>
        <v>#N/A</v>
      </c>
      <c r="F77" s="197" t="e">
        <f>ROUND((E$17-SUM(D$29:D76))*F$9*30/365,2)</f>
        <v>#N/A</v>
      </c>
      <c r="G77" s="286" t="e">
        <f t="shared" si="1"/>
        <v>#N/A</v>
      </c>
      <c r="H77" s="286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47440</v>
      </c>
      <c r="D78" s="195" t="e">
        <f>IF(B78&lt;$F$15,$F$18-E78-F78,IF(B78=$F$15,$E$17-SUM($D$28:D77),0))</f>
        <v>#N/A</v>
      </c>
      <c r="E78" s="196" t="e">
        <f>IF(B78&lt;=$F$15,(E$17*(VLOOKUP($H$2,Лист2!$A:$O,12,0)-(B78-1)*VLOOKUP($H$2,Лист2!$A:$O,13,0))),0)</f>
        <v>#N/A</v>
      </c>
      <c r="F78" s="197" t="e">
        <f>ROUND((E$17-SUM(D$29:D77))*F$9*30/365,2)</f>
        <v>#N/A</v>
      </c>
      <c r="G78" s="286" t="e">
        <f t="shared" si="1"/>
        <v>#N/A</v>
      </c>
      <c r="H78" s="286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47470</v>
      </c>
      <c r="D79" s="195" t="e">
        <f>IF(B79&lt;$F$15,$F$18-E79-F79,IF(B79=$F$15,$E$17-SUM($D$28:D78),0))</f>
        <v>#N/A</v>
      </c>
      <c r="E79" s="196" t="e">
        <f>IF(B79&lt;=$F$15,(E$17*(VLOOKUP($H$2,Лист2!$A:$O,12,0)-(B79-1)*VLOOKUP($H$2,Лист2!$A:$O,13,0))),0)</f>
        <v>#N/A</v>
      </c>
      <c r="F79" s="197" t="e">
        <f>ROUND((E$17-SUM(D$29:D78))*F$9*30/365,2)</f>
        <v>#N/A</v>
      </c>
      <c r="G79" s="286" t="e">
        <f t="shared" si="1"/>
        <v>#N/A</v>
      </c>
      <c r="H79" s="286"/>
      <c r="I79" s="134"/>
      <c r="J79" s="134"/>
    </row>
    <row r="80" spans="1:10" x14ac:dyDescent="0.2">
      <c r="A80" s="60"/>
      <c r="B80" s="128">
        <v>52</v>
      </c>
      <c r="C80" s="132">
        <f t="shared" ca="1" si="0"/>
        <v>47501</v>
      </c>
      <c r="D80" s="195" t="e">
        <f>IF(B80&lt;$F$15,$F$18-E80-F80,IF(B80=$F$15,$E$17-SUM($D$28:D79),0))</f>
        <v>#N/A</v>
      </c>
      <c r="E80" s="196" t="e">
        <f>IF(B80&lt;=$F$15,(E$17*(VLOOKUP($H$2,Лист2!$A:$O,12,0)-(B80-1)*VLOOKUP($H$2,Лист2!$A:$O,13,0))),0)</f>
        <v>#N/A</v>
      </c>
      <c r="F80" s="197" t="e">
        <f>ROUND((E$17-SUM(D$29:D79))*F$9*30/365,2)</f>
        <v>#N/A</v>
      </c>
      <c r="G80" s="286" t="e">
        <f t="shared" si="1"/>
        <v>#N/A</v>
      </c>
      <c r="H80" s="286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47532</v>
      </c>
      <c r="D81" s="195" t="e">
        <f>IF(B81&lt;$F$15,$F$18-E81-F81,IF(B81=$F$15,$E$17-SUM($D$28:D80),0))</f>
        <v>#N/A</v>
      </c>
      <c r="E81" s="196" t="e">
        <f>IF(B81&lt;=$F$15,(E$17*(VLOOKUP($H$2,Лист2!$A:$O,12,0)-(B81-1)*VLOOKUP($H$2,Лист2!$A:$O,13,0))),0)</f>
        <v>#N/A</v>
      </c>
      <c r="F81" s="197" t="e">
        <f>ROUND((E$17-SUM(D$29:D80))*F$9*30/365,2)</f>
        <v>#N/A</v>
      </c>
      <c r="G81" s="286" t="e">
        <f t="shared" si="1"/>
        <v>#N/A</v>
      </c>
      <c r="H81" s="286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47560</v>
      </c>
      <c r="D82" s="195" t="e">
        <f>IF(B82&lt;$F$15,$F$18-E82-F82,IF(B82=$F$15,$E$17-SUM($D$28:D81),0))</f>
        <v>#N/A</v>
      </c>
      <c r="E82" s="196" t="e">
        <f>IF(B82&lt;=$F$15,(E$17*(VLOOKUP($H$2,Лист2!$A:$O,12,0)-(B82-1)*VLOOKUP($H$2,Лист2!$A:$O,13,0))),0)</f>
        <v>#N/A</v>
      </c>
      <c r="F82" s="197" t="e">
        <f>ROUND((E$17-SUM(D$29:D81))*F$9*30/365,2)</f>
        <v>#N/A</v>
      </c>
      <c r="G82" s="286" t="e">
        <f t="shared" si="1"/>
        <v>#N/A</v>
      </c>
      <c r="H82" s="286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47591</v>
      </c>
      <c r="D83" s="195" t="e">
        <f>IF(B83&lt;$F$15,$F$18-E83-F83,IF(B83=$F$15,$E$17-SUM($D$28:D82),0))</f>
        <v>#N/A</v>
      </c>
      <c r="E83" s="196" t="e">
        <f>IF(B83&lt;=$F$15,(E$17*(VLOOKUP($H$2,Лист2!$A:$O,12,0)-(B83-1)*VLOOKUP($H$2,Лист2!$A:$O,13,0))),0)</f>
        <v>#N/A</v>
      </c>
      <c r="F83" s="197" t="e">
        <f>ROUND((E$17-SUM(D$29:D82))*F$9*30/365,2)</f>
        <v>#N/A</v>
      </c>
      <c r="G83" s="286" t="e">
        <f t="shared" si="1"/>
        <v>#N/A</v>
      </c>
      <c r="H83" s="286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47621</v>
      </c>
      <c r="D84" s="195" t="e">
        <f>IF(B84&lt;$F$15,$F$18-E84-F84,IF(B84=$F$15,$E$17-SUM($D$28:D83),0))</f>
        <v>#N/A</v>
      </c>
      <c r="E84" s="196" t="e">
        <f>IF(B84&lt;=$F$15,(E$17*(VLOOKUP($H$2,Лист2!$A:$O,12,0)-(B84-1)*VLOOKUP($H$2,Лист2!$A:$O,13,0))),0)</f>
        <v>#N/A</v>
      </c>
      <c r="F84" s="197" t="e">
        <f>ROUND((E$17-SUM(D$29:D83))*F$9*30/365,2)</f>
        <v>#N/A</v>
      </c>
      <c r="G84" s="286" t="e">
        <f t="shared" si="1"/>
        <v>#N/A</v>
      </c>
      <c r="H84" s="286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47652</v>
      </c>
      <c r="D85" s="195" t="e">
        <f>IF(B85&lt;$F$15,$F$18-E85-F85,IF(B85=$F$15,$E$17-SUM($D$28:D84),0))</f>
        <v>#N/A</v>
      </c>
      <c r="E85" s="196" t="e">
        <f>IF(B85&lt;=$F$15,(E$17*(VLOOKUP($H$2,Лист2!$A:$O,12,0)-(B85-1)*VLOOKUP($H$2,Лист2!$A:$O,13,0))),0)</f>
        <v>#N/A</v>
      </c>
      <c r="F85" s="197" t="e">
        <f>ROUND((E$17-SUM(D$29:D84))*F$9*30/365,2)</f>
        <v>#N/A</v>
      </c>
      <c r="G85" s="286" t="e">
        <f t="shared" si="1"/>
        <v>#N/A</v>
      </c>
      <c r="H85" s="286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47682</v>
      </c>
      <c r="D86" s="195" t="e">
        <f>IF(B86&lt;$F$15,$F$18-E86-F86,IF(B86=$F$15,$E$17-SUM($D$28:D85),0))</f>
        <v>#N/A</v>
      </c>
      <c r="E86" s="196" t="e">
        <f>IF(B86&lt;=$F$15,(E$17*(VLOOKUP($H$2,Лист2!$A:$O,12,0)-(B86-1)*VLOOKUP($H$2,Лист2!$A:$O,13,0))),0)</f>
        <v>#N/A</v>
      </c>
      <c r="F86" s="197" t="e">
        <f>ROUND((E$17-SUM(D$29:D85))*F$9*30/365,2)</f>
        <v>#N/A</v>
      </c>
      <c r="G86" s="286" t="e">
        <f t="shared" si="1"/>
        <v>#N/A</v>
      </c>
      <c r="H86" s="286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47713</v>
      </c>
      <c r="D87" s="195" t="e">
        <f>IF(B87&lt;$F$15,$F$18-E87-F87,IF(B87=$F$15,$E$17-SUM($D$28:D86),0))</f>
        <v>#N/A</v>
      </c>
      <c r="E87" s="196" t="e">
        <f>IF(B87&lt;=$F$15,(E$17*(VLOOKUP($H$2,Лист2!$A:$O,12,0)-(B87-1)*VLOOKUP($H$2,Лист2!$A:$O,13,0))),0)</f>
        <v>#N/A</v>
      </c>
      <c r="F87" s="197" t="e">
        <f>ROUND((E$17-SUM(D$29:D86))*F$9*30/365,2)</f>
        <v>#N/A</v>
      </c>
      <c r="G87" s="286" t="e">
        <f t="shared" si="1"/>
        <v>#N/A</v>
      </c>
      <c r="H87" s="286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47744</v>
      </c>
      <c r="D88" s="198" t="e">
        <f>IF(B88&lt;$F$15,$F$18-E88-F88,IF(B88=$F$15,$E$17-SUM($D$28:D87),0))</f>
        <v>#N/A</v>
      </c>
      <c r="E88" s="199" t="e">
        <f>IF(B88&lt;=$F$15,(E$17*(VLOOKUP($H$2,Лист2!$A:$O,12,0)-(B88-1)*VLOOKUP($H$2,Лист2!$A:$O,13,0))),0)</f>
        <v>#N/A</v>
      </c>
      <c r="F88" s="200" t="e">
        <f>ROUND((E$17-SUM(D$29:D87))*F$9*30/365,2)</f>
        <v>#N/A</v>
      </c>
      <c r="G88" s="290" t="e">
        <f t="shared" si="1"/>
        <v>#N/A</v>
      </c>
      <c r="H88" s="290"/>
      <c r="I88" s="134"/>
      <c r="J88" s="134"/>
    </row>
    <row r="89" spans="1:10" ht="16.5" thickBot="1" x14ac:dyDescent="0.25">
      <c r="A89" s="60"/>
      <c r="B89" s="269" t="s">
        <v>3</v>
      </c>
      <c r="C89" s="287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88" t="e">
        <f>SUM(G29:H88)</f>
        <v>#N/A</v>
      </c>
      <c r="H89" s="289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3" t="s">
        <v>5</v>
      </c>
      <c r="F91" s="273"/>
      <c r="G91" s="273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89:C89"/>
    <mergeCell ref="G89:H89"/>
    <mergeCell ref="E91:G91"/>
    <mergeCell ref="B7:E7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6:H76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64:H64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52:H52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40:H40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28:H28"/>
    <mergeCell ref="B15:E15"/>
    <mergeCell ref="G15:H15"/>
    <mergeCell ref="B18:E18"/>
    <mergeCell ref="G18:H18"/>
    <mergeCell ref="B20:E20"/>
    <mergeCell ref="G20:H20"/>
    <mergeCell ref="B22:E22"/>
    <mergeCell ref="G22:H22"/>
    <mergeCell ref="B24:E24"/>
    <mergeCell ref="B26:H26"/>
    <mergeCell ref="G27:H27"/>
    <mergeCell ref="B9:E9"/>
    <mergeCell ref="G9:H9"/>
    <mergeCell ref="B11:E11"/>
    <mergeCell ref="G11:H11"/>
    <mergeCell ref="B13:E13"/>
    <mergeCell ref="G13:H13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400-000000000000}">
      <formula1>$K$11:$K$17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1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8">
    <tabColor rgb="FFFFFF0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H2" sqref="H2:I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13.140625" style="4" hidden="1" customWidth="1" outlineLevel="1"/>
    <col min="12" max="12" width="14.57031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29" ht="12.75" customHeight="1" x14ac:dyDescent="0.2">
      <c r="A2" s="2"/>
      <c r="B2" s="61"/>
      <c r="C2" s="61"/>
      <c r="D2" s="61"/>
      <c r="E2" s="139">
        <f>VLOOKUP('Цільовий без СК'!H2,Лист3!A:O,14,FALSE)</f>
        <v>5000</v>
      </c>
      <c r="F2" s="126">
        <f>VLOOKUP(H$2,Лист3!$A:$H,2,0)</f>
        <v>500000</v>
      </c>
      <c r="G2" s="185">
        <f ca="1">TODAY()</f>
        <v>45918</v>
      </c>
      <c r="H2" s="243" t="s">
        <v>92</v>
      </c>
      <c r="I2" s="244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>
        <f>IF(F5&lt;E2,"x",IF(F5&gt;F2,"y",F5))</f>
        <v>100000</v>
      </c>
      <c r="F3" s="245" t="str">
        <f>IF(E3="x","Збільшіть суму",IF(E3="y","Зменшіть суму",""))</f>
        <v/>
      </c>
      <c r="G3" s="77">
        <f>Назви!B35</f>
        <v>30.4</v>
      </c>
      <c r="H3" s="247" t="str">
        <f>VLOOKUP(H$2,Лист3!$A:$H,7,0)</f>
        <v>max. 500000 грн.</v>
      </c>
      <c r="I3" s="248"/>
      <c r="J3" s="50"/>
    </row>
    <row r="4" spans="1:29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29" ht="21" customHeight="1" thickBot="1" x14ac:dyDescent="0.25">
      <c r="A5" s="1"/>
      <c r="B5" s="277" t="s">
        <v>82</v>
      </c>
      <c r="C5" s="278"/>
      <c r="D5" s="278"/>
      <c r="E5" s="279"/>
      <c r="F5" s="205">
        <v>100000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2" t="s">
        <v>81</v>
      </c>
      <c r="C7" s="253"/>
      <c r="D7" s="253"/>
      <c r="E7" s="254"/>
      <c r="F7" s="13">
        <f>D89</f>
        <v>100000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>
        <f>VLOOKUP(H$2,Лист3!$A:$H,4,0)</f>
        <v>0.74990000000000001</v>
      </c>
      <c r="G9" s="280"/>
      <c r="H9" s="280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2" t="str">
        <f>Назви!A7</f>
        <v>Разовий страховий тариф, %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>
        <f>VLOOKUP(H$2,Лист3!$A:$H,5,0)</f>
        <v>0</v>
      </c>
      <c r="G11" s="280"/>
      <c r="H11" s="280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2" t="str">
        <f>Назви!A9</f>
        <v xml:space="preserve">Щомісячна плата за обслуговування кредитної заборгованості, % </v>
      </c>
      <c r="C13" s="253">
        <f>Назви!B9</f>
        <v>0</v>
      </c>
      <c r="D13" s="253">
        <f>Назви!C9</f>
        <v>0</v>
      </c>
      <c r="E13" s="254">
        <f>Назви!D9</f>
        <v>0</v>
      </c>
      <c r="F13" s="38">
        <f>VLOOKUP(H$2,Лист3!$A:$H,6,0)</f>
        <v>0</v>
      </c>
      <c r="G13" s="280"/>
      <c r="H13" s="280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2" t="str">
        <f>Назви!A11</f>
        <v>Термін кредитування (міс.)</v>
      </c>
      <c r="C15" s="253">
        <f>Назви!B11</f>
        <v>0</v>
      </c>
      <c r="D15" s="253">
        <f>Назви!C11</f>
        <v>0</v>
      </c>
      <c r="E15" s="254">
        <f>Назви!D11</f>
        <v>0</v>
      </c>
      <c r="F15" s="64">
        <f>VLOOKUP(H$2,Лист3!$A:$H,3,0)</f>
        <v>24</v>
      </c>
      <c r="G15" s="280"/>
      <c r="H15" s="280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>
        <f>F5*F11</f>
        <v>0</v>
      </c>
      <c r="F16" s="61"/>
      <c r="G16" s="120"/>
      <c r="H16" s="11"/>
      <c r="I16" s="1"/>
      <c r="J16" s="52"/>
      <c r="K16" s="162" t="str">
        <f>Лист2!A11</f>
        <v xml:space="preserve">Цільовий, 60 міс. 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>
        <f>E16+E3</f>
        <v>100000</v>
      </c>
      <c r="F17" s="61"/>
      <c r="G17" s="120"/>
      <c r="H17" s="11"/>
      <c r="I17" s="1"/>
      <c r="J17" s="124"/>
      <c r="K17" s="162" t="str">
        <f>Лист2!A12</f>
        <v xml:space="preserve">Цільовий, 36 міс. 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55" t="str">
        <f>Назви!A14</f>
        <v>Орієнтовний платіж, грн.</v>
      </c>
      <c r="C18" s="256">
        <f>Назви!B14</f>
        <v>0</v>
      </c>
      <c r="D18" s="256">
        <f>Назви!C14</f>
        <v>0</v>
      </c>
      <c r="E18" s="257">
        <f>Назви!D14</f>
        <v>0</v>
      </c>
      <c r="F18" s="13">
        <f>PMT(F9/12,F15,-E17)+F13*E17</f>
        <v>8152.2894678446419</v>
      </c>
      <c r="G18" s="283"/>
      <c r="H18" s="284"/>
      <c r="I18" s="133"/>
      <c r="J18" s="52"/>
      <c r="K18" s="162" t="str">
        <f>Лист2!A13</f>
        <v xml:space="preserve">Цільовий, 24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Лист2!A14</f>
        <v xml:space="preserve">Цільовий, 12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Назви!A16</f>
        <v>Орієнтовні загальні витрати за кредитом, грн.</v>
      </c>
      <c r="C20" s="256">
        <f>Назви!B16</f>
        <v>0</v>
      </c>
      <c r="D20" s="256">
        <f>Назви!C16</f>
        <v>0</v>
      </c>
      <c r="E20" s="257">
        <f>Назви!D16</f>
        <v>0</v>
      </c>
      <c r="F20" s="13">
        <f>G89-E3</f>
        <v>95654.947228271456</v>
      </c>
      <c r="G20" s="285"/>
      <c r="H20" s="285"/>
      <c r="I20" s="1"/>
      <c r="J20" s="53"/>
      <c r="K20" s="162">
        <f>Лист2!A15</f>
        <v>0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>
        <f>Лист2!A16</f>
        <v>0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Назви!A18</f>
        <v>Орієнтовна загальна вартість кредиту, грн.</v>
      </c>
      <c r="C22" s="256">
        <f>Назви!B18</f>
        <v>0</v>
      </c>
      <c r="D22" s="256">
        <f>Назви!C18</f>
        <v>0</v>
      </c>
      <c r="E22" s="257">
        <f>Назви!D18</f>
        <v>0</v>
      </c>
      <c r="F22" s="13">
        <f>F7+F20</f>
        <v>195654.94722827146</v>
      </c>
      <c r="G22" s="280"/>
      <c r="H22" s="280"/>
      <c r="I22" s="1"/>
      <c r="J22" s="53"/>
      <c r="K22" s="162">
        <f>Лист2!A17</f>
        <v>0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>
        <f>Лист2!A18</f>
        <v>0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Назви!A20</f>
        <v>Реальна річна процентна ставка, %</v>
      </c>
      <c r="C24" s="256"/>
      <c r="D24" s="256"/>
      <c r="E24" s="257"/>
      <c r="F24" s="38">
        <f ca="1">XIRR(G28:G88,C28:C88)</f>
        <v>1.0717687487602234</v>
      </c>
      <c r="G24" s="17"/>
      <c r="H24" s="18"/>
      <c r="I24" s="1"/>
      <c r="J24" s="1"/>
      <c r="K24" s="162">
        <f>Лист2!A19</f>
        <v>0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2" t="str">
        <f>Назви!A29</f>
        <v>Орієнтовний порядок повернення кредиту</v>
      </c>
      <c r="C26" s="263"/>
      <c r="D26" s="263"/>
      <c r="E26" s="263"/>
      <c r="F26" s="263"/>
      <c r="G26" s="263"/>
      <c r="H26" s="264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5" t="str">
        <f>Назви!F30</f>
        <v>Сума платежу за розрахунковий період, грн.</v>
      </c>
      <c r="H27" s="266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45918</v>
      </c>
      <c r="D28" s="113"/>
      <c r="E28" s="114"/>
      <c r="F28" s="113"/>
      <c r="G28" s="281">
        <f>-1*E3</f>
        <v>-100000</v>
      </c>
      <c r="H28" s="282"/>
      <c r="I28" s="3"/>
      <c r="K28" s="162" t="e">
        <f>Лист2!#REF!</f>
        <v>#REF!</v>
      </c>
    </row>
    <row r="29" spans="1:29" x14ac:dyDescent="0.2">
      <c r="A29" s="1">
        <v>1</v>
      </c>
      <c r="B29" s="214">
        <v>1</v>
      </c>
      <c r="C29" s="211">
        <f ca="1">DATE(YEAR(C28),MONTH(C28)+1,DAY(C28))</f>
        <v>45948</v>
      </c>
      <c r="D29" s="207">
        <f>IFERROR(PPMT($F$9/12,B29,$F$15,-$E$17),0)</f>
        <v>1903.1228011779756</v>
      </c>
      <c r="E29" s="194">
        <v>0</v>
      </c>
      <c r="F29" s="194">
        <f>IFERROR(IPMT($F$9/12,B29,$F$15,-$F$7),0)</f>
        <v>6249.166666666667</v>
      </c>
      <c r="G29" s="267">
        <f>SUM(D29:F29)</f>
        <v>8152.2894678446428</v>
      </c>
      <c r="H29" s="268"/>
      <c r="I29" s="3"/>
      <c r="K29" s="162" t="e">
        <f>Лист2!#REF!</f>
        <v>#REF!</v>
      </c>
    </row>
    <row r="30" spans="1:29" x14ac:dyDescent="0.2">
      <c r="A30" s="1">
        <v>2</v>
      </c>
      <c r="B30" s="215">
        <v>2</v>
      </c>
      <c r="C30" s="212">
        <f t="shared" ref="C30:C88" ca="1" si="0">DATE(YEAR(C29),MONTH(C29)+1,DAY(C29))</f>
        <v>45979</v>
      </c>
      <c r="D30" s="208">
        <f t="shared" ref="D30:D88" si="1">IFERROR(PPMT($F$9/12,B30,$F$15,-$E$17),0)</f>
        <v>2022.0521168949228</v>
      </c>
      <c r="E30" s="196">
        <v>0</v>
      </c>
      <c r="F30" s="196">
        <f t="shared" ref="F30:F88" si="2">IFERROR(IPMT($F$9/12,B30,$F$15,-$F$7),0)</f>
        <v>6130.2373509497193</v>
      </c>
      <c r="G30" s="286">
        <f t="shared" ref="G30:G88" si="3">SUM(D30:F30)</f>
        <v>8152.2894678446419</v>
      </c>
      <c r="H30" s="291"/>
      <c r="I30" s="3"/>
      <c r="K30" s="162" t="e">
        <f>Лист2!#REF!</f>
        <v>#REF!</v>
      </c>
    </row>
    <row r="31" spans="1:29" x14ac:dyDescent="0.2">
      <c r="A31" s="1">
        <v>3</v>
      </c>
      <c r="B31" s="215">
        <v>3</v>
      </c>
      <c r="C31" s="212">
        <f t="shared" ca="1" si="0"/>
        <v>46009</v>
      </c>
      <c r="D31" s="208">
        <f t="shared" si="1"/>
        <v>2148.4135237665473</v>
      </c>
      <c r="E31" s="196">
        <v>0</v>
      </c>
      <c r="F31" s="196">
        <f t="shared" si="2"/>
        <v>6003.875944078095</v>
      </c>
      <c r="G31" s="286">
        <f t="shared" si="3"/>
        <v>8152.2894678446428</v>
      </c>
      <c r="H31" s="291"/>
      <c r="I31" s="3"/>
      <c r="K31" s="162" t="e">
        <f>Лист2!#REF!</f>
        <v>#REF!</v>
      </c>
    </row>
    <row r="32" spans="1:29" x14ac:dyDescent="0.2">
      <c r="A32" s="1">
        <v>4</v>
      </c>
      <c r="B32" s="215">
        <v>4</v>
      </c>
      <c r="C32" s="212">
        <f t="shared" ca="1" si="0"/>
        <v>46040</v>
      </c>
      <c r="D32" s="208">
        <f t="shared" si="1"/>
        <v>2282.6714655559254</v>
      </c>
      <c r="E32" s="196">
        <v>0</v>
      </c>
      <c r="F32" s="196">
        <f t="shared" si="2"/>
        <v>5869.6180022887165</v>
      </c>
      <c r="G32" s="286">
        <f t="shared" si="3"/>
        <v>8152.2894678446419</v>
      </c>
      <c r="H32" s="291"/>
      <c r="I32" s="3"/>
      <c r="K32" s="162" t="e">
        <f>Лист2!#REF!</f>
        <v>#REF!</v>
      </c>
    </row>
    <row r="33" spans="1:11" x14ac:dyDescent="0.2">
      <c r="A33" s="1">
        <v>5</v>
      </c>
      <c r="B33" s="215">
        <v>5</v>
      </c>
      <c r="C33" s="212">
        <f t="shared" ca="1" si="0"/>
        <v>46071</v>
      </c>
      <c r="D33" s="208">
        <f t="shared" si="1"/>
        <v>2425.3194098909576</v>
      </c>
      <c r="E33" s="196">
        <v>0</v>
      </c>
      <c r="F33" s="196">
        <f t="shared" si="2"/>
        <v>5726.9700579536839</v>
      </c>
      <c r="G33" s="286">
        <f t="shared" si="3"/>
        <v>8152.289467844641</v>
      </c>
      <c r="H33" s="291"/>
      <c r="I33" s="3"/>
      <c r="K33" s="162" t="e">
        <f>Лист2!#REF!</f>
        <v>#REF!</v>
      </c>
    </row>
    <row r="34" spans="1:11" x14ac:dyDescent="0.2">
      <c r="A34" s="1">
        <v>6</v>
      </c>
      <c r="B34" s="215">
        <v>6</v>
      </c>
      <c r="C34" s="212">
        <f t="shared" ca="1" si="0"/>
        <v>46099</v>
      </c>
      <c r="D34" s="208">
        <f t="shared" si="1"/>
        <v>2576.8816620140601</v>
      </c>
      <c r="E34" s="196">
        <v>0</v>
      </c>
      <c r="F34" s="196">
        <f t="shared" si="2"/>
        <v>5575.4078058305813</v>
      </c>
      <c r="G34" s="286">
        <f t="shared" si="3"/>
        <v>8152.289467844641</v>
      </c>
      <c r="H34" s="291"/>
      <c r="I34" s="3"/>
      <c r="K34" s="162" t="e">
        <f>Лист2!#REF!</f>
        <v>#REF!</v>
      </c>
    </row>
    <row r="35" spans="1:11" x14ac:dyDescent="0.2">
      <c r="A35" s="1">
        <v>7</v>
      </c>
      <c r="B35" s="215">
        <v>7</v>
      </c>
      <c r="C35" s="212">
        <f t="shared" ca="1" si="0"/>
        <v>46130</v>
      </c>
      <c r="D35" s="208">
        <f t="shared" si="1"/>
        <v>2737.9152918760888</v>
      </c>
      <c r="E35" s="196">
        <v>0</v>
      </c>
      <c r="F35" s="196">
        <f t="shared" si="2"/>
        <v>5414.3741759685536</v>
      </c>
      <c r="G35" s="286">
        <f t="shared" si="3"/>
        <v>8152.2894678446428</v>
      </c>
      <c r="H35" s="291"/>
      <c r="I35" s="3"/>
      <c r="K35" s="162" t="e">
        <f>Лист2!#REF!</f>
        <v>#REF!</v>
      </c>
    </row>
    <row r="36" spans="1:11" x14ac:dyDescent="0.2">
      <c r="A36" s="1">
        <v>8</v>
      </c>
      <c r="B36" s="215">
        <v>8</v>
      </c>
      <c r="C36" s="212">
        <f t="shared" ca="1" si="0"/>
        <v>46160</v>
      </c>
      <c r="D36" s="208">
        <f t="shared" si="1"/>
        <v>2909.0121816575788</v>
      </c>
      <c r="E36" s="196">
        <v>0</v>
      </c>
      <c r="F36" s="196">
        <f t="shared" si="2"/>
        <v>5243.2772861870626</v>
      </c>
      <c r="G36" s="286">
        <f t="shared" si="3"/>
        <v>8152.289467844641</v>
      </c>
      <c r="H36" s="291"/>
      <c r="I36" s="3"/>
      <c r="K36" s="162" t="e">
        <f>Лист2!#REF!</f>
        <v>#REF!</v>
      </c>
    </row>
    <row r="37" spans="1:11" x14ac:dyDescent="0.2">
      <c r="A37" s="1">
        <v>9</v>
      </c>
      <c r="B37" s="215">
        <v>9</v>
      </c>
      <c r="C37" s="212">
        <f t="shared" ca="1" si="0"/>
        <v>46191</v>
      </c>
      <c r="D37" s="208">
        <f t="shared" si="1"/>
        <v>3090.8012012429972</v>
      </c>
      <c r="E37" s="196">
        <v>0</v>
      </c>
      <c r="F37" s="196">
        <f t="shared" si="2"/>
        <v>5061.4882666016447</v>
      </c>
      <c r="G37" s="286">
        <f t="shared" si="3"/>
        <v>8152.2894678446419</v>
      </c>
      <c r="H37" s="291"/>
      <c r="I37" s="3"/>
      <c r="K37" s="162" t="e">
        <f>Лист2!#REF!</f>
        <v>#REF!</v>
      </c>
    </row>
    <row r="38" spans="1:11" x14ac:dyDescent="0.2">
      <c r="A38" s="1">
        <v>10</v>
      </c>
      <c r="B38" s="215">
        <v>10</v>
      </c>
      <c r="C38" s="212">
        <f t="shared" ca="1" si="0"/>
        <v>46221</v>
      </c>
      <c r="D38" s="208">
        <f t="shared" si="1"/>
        <v>3283.9505196440073</v>
      </c>
      <c r="E38" s="196">
        <v>0</v>
      </c>
      <c r="F38" s="196">
        <f t="shared" si="2"/>
        <v>4868.338948200636</v>
      </c>
      <c r="G38" s="286">
        <f t="shared" si="3"/>
        <v>8152.2894678446428</v>
      </c>
      <c r="H38" s="291"/>
      <c r="I38" s="3"/>
      <c r="K38" s="162" t="e">
        <f>Лист2!#REF!</f>
        <v>#REF!</v>
      </c>
    </row>
    <row r="39" spans="1:11" x14ac:dyDescent="0.2">
      <c r="A39" s="1">
        <v>22</v>
      </c>
      <c r="B39" s="215">
        <v>11</v>
      </c>
      <c r="C39" s="212">
        <f t="shared" ca="1" si="0"/>
        <v>46252</v>
      </c>
      <c r="D39" s="208">
        <f t="shared" si="1"/>
        <v>3489.1700608674269</v>
      </c>
      <c r="E39" s="196">
        <v>0</v>
      </c>
      <c r="F39" s="196">
        <f t="shared" si="2"/>
        <v>4663.1194069772155</v>
      </c>
      <c r="G39" s="286">
        <f t="shared" si="3"/>
        <v>8152.2894678446428</v>
      </c>
      <c r="H39" s="291"/>
      <c r="I39" s="3"/>
      <c r="K39" s="162" t="e">
        <f>Лист2!#REF!</f>
        <v>#REF!</v>
      </c>
    </row>
    <row r="40" spans="1:11" x14ac:dyDescent="0.2">
      <c r="A40" s="1">
        <v>22</v>
      </c>
      <c r="B40" s="215">
        <v>12</v>
      </c>
      <c r="C40" s="212">
        <f t="shared" ca="1" si="0"/>
        <v>46283</v>
      </c>
      <c r="D40" s="208">
        <f t="shared" si="1"/>
        <v>3707.214113254468</v>
      </c>
      <c r="E40" s="196">
        <v>0</v>
      </c>
      <c r="F40" s="196">
        <f t="shared" si="2"/>
        <v>4445.0753545901744</v>
      </c>
      <c r="G40" s="286">
        <f t="shared" si="3"/>
        <v>8152.2894678446428</v>
      </c>
      <c r="H40" s="291"/>
      <c r="I40" s="3"/>
      <c r="K40" s="162" t="e">
        <f>Лист2!#REF!</f>
        <v>#REF!</v>
      </c>
    </row>
    <row r="41" spans="1:11" x14ac:dyDescent="0.2">
      <c r="A41" s="1">
        <v>13</v>
      </c>
      <c r="B41" s="215">
        <v>13</v>
      </c>
      <c r="C41" s="212">
        <f t="shared" ca="1" si="0"/>
        <v>46313</v>
      </c>
      <c r="D41" s="208">
        <f t="shared" si="1"/>
        <v>3938.884101881928</v>
      </c>
      <c r="E41" s="196">
        <v>0</v>
      </c>
      <c r="F41" s="196">
        <f t="shared" si="2"/>
        <v>4213.4053659627134</v>
      </c>
      <c r="G41" s="286">
        <f t="shared" si="3"/>
        <v>8152.289467844641</v>
      </c>
      <c r="H41" s="291"/>
      <c r="I41" s="3"/>
      <c r="K41" s="162" t="e">
        <f>Лист2!#REF!</f>
        <v>#REF!</v>
      </c>
    </row>
    <row r="42" spans="1:11" x14ac:dyDescent="0.2">
      <c r="A42" s="1">
        <v>14</v>
      </c>
      <c r="B42" s="215">
        <v>14</v>
      </c>
      <c r="C42" s="212">
        <f t="shared" ca="1" si="0"/>
        <v>46344</v>
      </c>
      <c r="D42" s="208">
        <f t="shared" si="1"/>
        <v>4185.0315342153654</v>
      </c>
      <c r="E42" s="196">
        <v>0</v>
      </c>
      <c r="F42" s="196">
        <f t="shared" si="2"/>
        <v>3967.2579336292761</v>
      </c>
      <c r="G42" s="286">
        <f t="shared" si="3"/>
        <v>8152.289467844641</v>
      </c>
      <c r="H42" s="291"/>
      <c r="I42" s="3"/>
      <c r="K42" s="162" t="e">
        <f>Лист2!#REF!</f>
        <v>#REF!</v>
      </c>
    </row>
    <row r="43" spans="1:11" x14ac:dyDescent="0.2">
      <c r="A43" s="1">
        <v>15</v>
      </c>
      <c r="B43" s="215">
        <v>15</v>
      </c>
      <c r="C43" s="212">
        <f t="shared" ca="1" si="0"/>
        <v>46374</v>
      </c>
      <c r="D43" s="208">
        <f t="shared" si="1"/>
        <v>4446.5611298410413</v>
      </c>
      <c r="E43" s="196">
        <v>0</v>
      </c>
      <c r="F43" s="196">
        <f t="shared" si="2"/>
        <v>3705.7283380036006</v>
      </c>
      <c r="G43" s="286">
        <f t="shared" si="3"/>
        <v>8152.2894678446419</v>
      </c>
      <c r="H43" s="291"/>
      <c r="I43" s="3"/>
      <c r="K43" s="162" t="e">
        <f>Лист2!#REF!</f>
        <v>#REF!</v>
      </c>
    </row>
    <row r="44" spans="1:11" x14ac:dyDescent="0.2">
      <c r="A44" s="1">
        <v>16</v>
      </c>
      <c r="B44" s="215">
        <v>16</v>
      </c>
      <c r="C44" s="212">
        <f t="shared" ca="1" si="0"/>
        <v>46405</v>
      </c>
      <c r="D44" s="208">
        <f t="shared" si="1"/>
        <v>4724.4341457800238</v>
      </c>
      <c r="E44" s="196">
        <v>0</v>
      </c>
      <c r="F44" s="196">
        <f t="shared" si="2"/>
        <v>3427.8553220646177</v>
      </c>
      <c r="G44" s="286">
        <f t="shared" si="3"/>
        <v>8152.289467844641</v>
      </c>
      <c r="H44" s="291"/>
      <c r="I44" s="3"/>
      <c r="K44" s="162" t="e">
        <f>Лист2!#REF!</f>
        <v>#REF!</v>
      </c>
    </row>
    <row r="45" spans="1:11" x14ac:dyDescent="0.2">
      <c r="A45" s="1">
        <v>22</v>
      </c>
      <c r="B45" s="215">
        <v>17</v>
      </c>
      <c r="C45" s="212">
        <f t="shared" ca="1" si="0"/>
        <v>46436</v>
      </c>
      <c r="D45" s="208">
        <f t="shared" si="1"/>
        <v>5019.6719096067281</v>
      </c>
      <c r="E45" s="196">
        <v>0</v>
      </c>
      <c r="F45" s="196">
        <f t="shared" si="2"/>
        <v>3132.6175582379146</v>
      </c>
      <c r="G45" s="286">
        <f t="shared" si="3"/>
        <v>8152.2894678446428</v>
      </c>
      <c r="H45" s="291"/>
      <c r="I45" s="3"/>
      <c r="K45" s="162"/>
    </row>
    <row r="46" spans="1:11" x14ac:dyDescent="0.2">
      <c r="A46" s="1">
        <v>22</v>
      </c>
      <c r="B46" s="215">
        <v>18</v>
      </c>
      <c r="C46" s="212">
        <f t="shared" ca="1" si="0"/>
        <v>46464</v>
      </c>
      <c r="D46" s="208">
        <f t="shared" si="1"/>
        <v>5333.3595733579014</v>
      </c>
      <c r="E46" s="196">
        <v>0</v>
      </c>
      <c r="F46" s="196">
        <f t="shared" si="2"/>
        <v>2818.929894486741</v>
      </c>
      <c r="G46" s="286">
        <f t="shared" si="3"/>
        <v>8152.2894678446428</v>
      </c>
      <c r="H46" s="291"/>
      <c r="I46" s="3"/>
      <c r="K46" s="162"/>
    </row>
    <row r="47" spans="1:11" x14ac:dyDescent="0.2">
      <c r="A47" s="1">
        <v>19</v>
      </c>
      <c r="B47" s="215">
        <v>19</v>
      </c>
      <c r="C47" s="212">
        <f t="shared" ca="1" si="0"/>
        <v>46495</v>
      </c>
      <c r="D47" s="208">
        <f t="shared" si="1"/>
        <v>5666.6501020296591</v>
      </c>
      <c r="E47" s="196">
        <v>0</v>
      </c>
      <c r="F47" s="196">
        <f t="shared" si="2"/>
        <v>2485.6393658149827</v>
      </c>
      <c r="G47" s="286">
        <f t="shared" si="3"/>
        <v>8152.2894678446419</v>
      </c>
      <c r="H47" s="291"/>
      <c r="I47" s="3"/>
      <c r="K47" s="162"/>
    </row>
    <row r="48" spans="1:11" x14ac:dyDescent="0.2">
      <c r="A48" s="1">
        <v>20</v>
      </c>
      <c r="B48" s="215">
        <v>20</v>
      </c>
      <c r="C48" s="212">
        <f t="shared" ca="1" si="0"/>
        <v>46525</v>
      </c>
      <c r="D48" s="208">
        <f t="shared" si="1"/>
        <v>6020.7685113223288</v>
      </c>
      <c r="E48" s="196">
        <v>0</v>
      </c>
      <c r="F48" s="196">
        <f t="shared" si="2"/>
        <v>2131.5209565223131</v>
      </c>
      <c r="G48" s="286">
        <f t="shared" si="3"/>
        <v>8152.2894678446419</v>
      </c>
      <c r="H48" s="291"/>
      <c r="I48" s="3"/>
      <c r="K48" s="162"/>
    </row>
    <row r="49" spans="1:11" x14ac:dyDescent="0.2">
      <c r="A49" s="60">
        <v>21</v>
      </c>
      <c r="B49" s="215">
        <v>21</v>
      </c>
      <c r="C49" s="212">
        <f t="shared" ca="1" si="0"/>
        <v>46556</v>
      </c>
      <c r="D49" s="208">
        <f t="shared" si="1"/>
        <v>6397.0163702090467</v>
      </c>
      <c r="E49" s="196">
        <v>0</v>
      </c>
      <c r="F49" s="196">
        <f t="shared" si="2"/>
        <v>1755.2730976355954</v>
      </c>
      <c r="G49" s="286">
        <f t="shared" si="3"/>
        <v>8152.2894678446419</v>
      </c>
      <c r="H49" s="291"/>
      <c r="I49" s="3"/>
      <c r="K49" s="162"/>
    </row>
    <row r="50" spans="1:11" x14ac:dyDescent="0.2">
      <c r="A50" s="60">
        <v>22</v>
      </c>
      <c r="B50" s="215">
        <v>22</v>
      </c>
      <c r="C50" s="212">
        <f t="shared" ca="1" si="0"/>
        <v>46586</v>
      </c>
      <c r="D50" s="208">
        <f t="shared" si="1"/>
        <v>6796.7765848773606</v>
      </c>
      <c r="E50" s="196">
        <v>0</v>
      </c>
      <c r="F50" s="196">
        <f t="shared" si="2"/>
        <v>1355.5128829672815</v>
      </c>
      <c r="G50" s="286">
        <f t="shared" si="3"/>
        <v>8152.2894678446419</v>
      </c>
      <c r="H50" s="291"/>
      <c r="I50" s="3"/>
    </row>
    <row r="51" spans="1:11" x14ac:dyDescent="0.2">
      <c r="A51" s="60">
        <v>25</v>
      </c>
      <c r="B51" s="215">
        <v>23</v>
      </c>
      <c r="C51" s="212">
        <f t="shared" ca="1" si="0"/>
        <v>46617</v>
      </c>
      <c r="D51" s="208">
        <f t="shared" si="1"/>
        <v>7221.5184816273213</v>
      </c>
      <c r="E51" s="196">
        <v>0</v>
      </c>
      <c r="F51" s="196">
        <f t="shared" si="2"/>
        <v>930.77098621732068</v>
      </c>
      <c r="G51" s="286">
        <f t="shared" si="3"/>
        <v>8152.2894678446419</v>
      </c>
      <c r="H51" s="291"/>
      <c r="I51" s="3"/>
    </row>
    <row r="52" spans="1:11" x14ac:dyDescent="0.2">
      <c r="A52" s="60"/>
      <c r="B52" s="215">
        <v>24</v>
      </c>
      <c r="C52" s="212">
        <f t="shared" ca="1" si="0"/>
        <v>46648</v>
      </c>
      <c r="D52" s="208">
        <f t="shared" si="1"/>
        <v>7672.8032074083476</v>
      </c>
      <c r="E52" s="196">
        <v>0</v>
      </c>
      <c r="F52" s="196">
        <f t="shared" si="2"/>
        <v>479.48626043629338</v>
      </c>
      <c r="G52" s="286">
        <f t="shared" si="3"/>
        <v>8152.289467844641</v>
      </c>
      <c r="H52" s="291"/>
      <c r="I52" s="3"/>
    </row>
    <row r="53" spans="1:11" x14ac:dyDescent="0.2">
      <c r="A53" s="60"/>
      <c r="B53" s="215">
        <v>25</v>
      </c>
      <c r="C53" s="212">
        <f t="shared" ca="1" si="0"/>
        <v>46678</v>
      </c>
      <c r="D53" s="208">
        <f t="shared" si="1"/>
        <v>0</v>
      </c>
      <c r="E53" s="196">
        <v>0</v>
      </c>
      <c r="F53" s="196">
        <f t="shared" si="2"/>
        <v>0</v>
      </c>
      <c r="G53" s="286">
        <f t="shared" si="3"/>
        <v>0</v>
      </c>
      <c r="H53" s="291"/>
      <c r="I53" s="3"/>
    </row>
    <row r="54" spans="1:11" x14ac:dyDescent="0.2">
      <c r="A54" s="60"/>
      <c r="B54" s="215">
        <v>26</v>
      </c>
      <c r="C54" s="212">
        <f t="shared" ca="1" si="0"/>
        <v>46709</v>
      </c>
      <c r="D54" s="208">
        <f t="shared" si="1"/>
        <v>0</v>
      </c>
      <c r="E54" s="196">
        <v>0</v>
      </c>
      <c r="F54" s="196">
        <f t="shared" si="2"/>
        <v>0</v>
      </c>
      <c r="G54" s="286">
        <f t="shared" si="3"/>
        <v>0</v>
      </c>
      <c r="H54" s="291"/>
      <c r="I54" s="3"/>
    </row>
    <row r="55" spans="1:11" x14ac:dyDescent="0.2">
      <c r="A55" s="60"/>
      <c r="B55" s="215">
        <v>27</v>
      </c>
      <c r="C55" s="212">
        <f t="shared" ca="1" si="0"/>
        <v>46739</v>
      </c>
      <c r="D55" s="208">
        <f t="shared" si="1"/>
        <v>0</v>
      </c>
      <c r="E55" s="196">
        <v>0</v>
      </c>
      <c r="F55" s="196">
        <f t="shared" si="2"/>
        <v>0</v>
      </c>
      <c r="G55" s="286">
        <f t="shared" si="3"/>
        <v>0</v>
      </c>
      <c r="H55" s="291"/>
      <c r="I55" s="3"/>
    </row>
    <row r="56" spans="1:11" x14ac:dyDescent="0.2">
      <c r="A56" s="60"/>
      <c r="B56" s="215">
        <v>28</v>
      </c>
      <c r="C56" s="212">
        <f t="shared" ca="1" si="0"/>
        <v>46770</v>
      </c>
      <c r="D56" s="208">
        <f t="shared" si="1"/>
        <v>0</v>
      </c>
      <c r="E56" s="196">
        <v>0</v>
      </c>
      <c r="F56" s="196">
        <f t="shared" si="2"/>
        <v>0</v>
      </c>
      <c r="G56" s="286">
        <f t="shared" si="3"/>
        <v>0</v>
      </c>
      <c r="H56" s="291"/>
      <c r="I56" s="3"/>
    </row>
    <row r="57" spans="1:11" x14ac:dyDescent="0.2">
      <c r="A57" s="60"/>
      <c r="B57" s="215">
        <v>29</v>
      </c>
      <c r="C57" s="212">
        <f t="shared" ca="1" si="0"/>
        <v>46801</v>
      </c>
      <c r="D57" s="208">
        <f t="shared" si="1"/>
        <v>0</v>
      </c>
      <c r="E57" s="196">
        <v>0</v>
      </c>
      <c r="F57" s="196">
        <f t="shared" si="2"/>
        <v>0</v>
      </c>
      <c r="G57" s="286">
        <f t="shared" si="3"/>
        <v>0</v>
      </c>
      <c r="H57" s="291"/>
      <c r="I57" s="3"/>
    </row>
    <row r="58" spans="1:11" x14ac:dyDescent="0.2">
      <c r="A58" s="60">
        <v>25</v>
      </c>
      <c r="B58" s="215">
        <v>30</v>
      </c>
      <c r="C58" s="212">
        <f t="shared" ca="1" si="0"/>
        <v>46830</v>
      </c>
      <c r="D58" s="208">
        <f t="shared" si="1"/>
        <v>0</v>
      </c>
      <c r="E58" s="196">
        <v>0</v>
      </c>
      <c r="F58" s="196">
        <f t="shared" si="2"/>
        <v>0</v>
      </c>
      <c r="G58" s="286">
        <f t="shared" si="3"/>
        <v>0</v>
      </c>
      <c r="H58" s="291"/>
      <c r="I58" s="134"/>
      <c r="J58" s="134"/>
    </row>
    <row r="59" spans="1:11" x14ac:dyDescent="0.2">
      <c r="A59" s="60"/>
      <c r="B59" s="215">
        <v>31</v>
      </c>
      <c r="C59" s="212">
        <f t="shared" ca="1" si="0"/>
        <v>46861</v>
      </c>
      <c r="D59" s="208">
        <f t="shared" si="1"/>
        <v>0</v>
      </c>
      <c r="E59" s="196">
        <v>0</v>
      </c>
      <c r="F59" s="196">
        <f t="shared" si="2"/>
        <v>0</v>
      </c>
      <c r="G59" s="286">
        <f t="shared" si="3"/>
        <v>0</v>
      </c>
      <c r="H59" s="291"/>
      <c r="I59" s="134"/>
      <c r="J59" s="134"/>
    </row>
    <row r="60" spans="1:11" x14ac:dyDescent="0.2">
      <c r="A60" s="60"/>
      <c r="B60" s="215">
        <v>32</v>
      </c>
      <c r="C60" s="212">
        <f t="shared" ca="1" si="0"/>
        <v>46891</v>
      </c>
      <c r="D60" s="208">
        <f t="shared" si="1"/>
        <v>0</v>
      </c>
      <c r="E60" s="196">
        <v>0</v>
      </c>
      <c r="F60" s="196">
        <f t="shared" si="2"/>
        <v>0</v>
      </c>
      <c r="G60" s="286">
        <f t="shared" si="3"/>
        <v>0</v>
      </c>
      <c r="H60" s="291"/>
      <c r="I60" s="134"/>
      <c r="J60" s="134"/>
    </row>
    <row r="61" spans="1:11" x14ac:dyDescent="0.2">
      <c r="A61" s="60"/>
      <c r="B61" s="215">
        <v>33</v>
      </c>
      <c r="C61" s="212">
        <f t="shared" ca="1" si="0"/>
        <v>46922</v>
      </c>
      <c r="D61" s="208">
        <f t="shared" si="1"/>
        <v>0</v>
      </c>
      <c r="E61" s="196">
        <v>0</v>
      </c>
      <c r="F61" s="196">
        <f t="shared" si="2"/>
        <v>0</v>
      </c>
      <c r="G61" s="286">
        <f t="shared" si="3"/>
        <v>0</v>
      </c>
      <c r="H61" s="291"/>
      <c r="I61" s="134"/>
      <c r="J61" s="134"/>
    </row>
    <row r="62" spans="1:11" x14ac:dyDescent="0.2">
      <c r="A62" s="60"/>
      <c r="B62" s="215">
        <v>34</v>
      </c>
      <c r="C62" s="212">
        <f t="shared" ca="1" si="0"/>
        <v>46952</v>
      </c>
      <c r="D62" s="208">
        <f t="shared" si="1"/>
        <v>0</v>
      </c>
      <c r="E62" s="196">
        <v>0</v>
      </c>
      <c r="F62" s="196">
        <f t="shared" si="2"/>
        <v>0</v>
      </c>
      <c r="G62" s="286">
        <f t="shared" si="3"/>
        <v>0</v>
      </c>
      <c r="H62" s="291"/>
      <c r="I62" s="134"/>
      <c r="J62" s="134"/>
    </row>
    <row r="63" spans="1:11" x14ac:dyDescent="0.2">
      <c r="A63" s="60"/>
      <c r="B63" s="215">
        <v>35</v>
      </c>
      <c r="C63" s="212">
        <f t="shared" ca="1" si="0"/>
        <v>46983</v>
      </c>
      <c r="D63" s="208">
        <f t="shared" si="1"/>
        <v>0</v>
      </c>
      <c r="E63" s="196">
        <v>0</v>
      </c>
      <c r="F63" s="196">
        <f t="shared" si="2"/>
        <v>0</v>
      </c>
      <c r="G63" s="286">
        <f t="shared" si="3"/>
        <v>0</v>
      </c>
      <c r="H63" s="291"/>
      <c r="I63" s="134"/>
      <c r="J63" s="134"/>
    </row>
    <row r="64" spans="1:11" x14ac:dyDescent="0.2">
      <c r="A64" s="60"/>
      <c r="B64" s="215">
        <v>36</v>
      </c>
      <c r="C64" s="212">
        <f t="shared" ca="1" si="0"/>
        <v>47014</v>
      </c>
      <c r="D64" s="208">
        <f t="shared" si="1"/>
        <v>0</v>
      </c>
      <c r="E64" s="196">
        <v>0</v>
      </c>
      <c r="F64" s="196">
        <f t="shared" si="2"/>
        <v>0</v>
      </c>
      <c r="G64" s="286">
        <f t="shared" si="3"/>
        <v>0</v>
      </c>
      <c r="H64" s="291"/>
      <c r="I64" s="134"/>
      <c r="J64" s="134"/>
    </row>
    <row r="65" spans="1:10" x14ac:dyDescent="0.2">
      <c r="A65" s="60"/>
      <c r="B65" s="215">
        <v>37</v>
      </c>
      <c r="C65" s="212">
        <f t="shared" ca="1" si="0"/>
        <v>47044</v>
      </c>
      <c r="D65" s="208">
        <f t="shared" si="1"/>
        <v>0</v>
      </c>
      <c r="E65" s="196">
        <v>0</v>
      </c>
      <c r="F65" s="196">
        <f t="shared" si="2"/>
        <v>0</v>
      </c>
      <c r="G65" s="286">
        <f t="shared" si="3"/>
        <v>0</v>
      </c>
      <c r="H65" s="291"/>
      <c r="I65" s="134"/>
      <c r="J65" s="134"/>
    </row>
    <row r="66" spans="1:10" x14ac:dyDescent="0.2">
      <c r="A66" s="60"/>
      <c r="B66" s="215">
        <v>38</v>
      </c>
      <c r="C66" s="212">
        <f t="shared" ca="1" si="0"/>
        <v>47075</v>
      </c>
      <c r="D66" s="208">
        <f t="shared" si="1"/>
        <v>0</v>
      </c>
      <c r="E66" s="196">
        <v>0</v>
      </c>
      <c r="F66" s="196">
        <f t="shared" si="2"/>
        <v>0</v>
      </c>
      <c r="G66" s="286">
        <f t="shared" si="3"/>
        <v>0</v>
      </c>
      <c r="H66" s="291"/>
      <c r="I66" s="134"/>
      <c r="J66" s="134"/>
    </row>
    <row r="67" spans="1:10" x14ac:dyDescent="0.2">
      <c r="A67" s="60"/>
      <c r="B67" s="215">
        <v>39</v>
      </c>
      <c r="C67" s="212">
        <f t="shared" ca="1" si="0"/>
        <v>47105</v>
      </c>
      <c r="D67" s="208">
        <f t="shared" si="1"/>
        <v>0</v>
      </c>
      <c r="E67" s="196">
        <v>0</v>
      </c>
      <c r="F67" s="196">
        <f t="shared" si="2"/>
        <v>0</v>
      </c>
      <c r="G67" s="286">
        <f t="shared" si="3"/>
        <v>0</v>
      </c>
      <c r="H67" s="291"/>
      <c r="I67" s="134"/>
      <c r="J67" s="134"/>
    </row>
    <row r="68" spans="1:10" x14ac:dyDescent="0.2">
      <c r="A68" s="60"/>
      <c r="B68" s="215">
        <v>40</v>
      </c>
      <c r="C68" s="212">
        <f t="shared" ca="1" si="0"/>
        <v>47136</v>
      </c>
      <c r="D68" s="208">
        <f t="shared" si="1"/>
        <v>0</v>
      </c>
      <c r="E68" s="196">
        <v>0</v>
      </c>
      <c r="F68" s="196">
        <f t="shared" si="2"/>
        <v>0</v>
      </c>
      <c r="G68" s="286">
        <f t="shared" si="3"/>
        <v>0</v>
      </c>
      <c r="H68" s="291"/>
      <c r="I68" s="134"/>
      <c r="J68" s="134"/>
    </row>
    <row r="69" spans="1:10" x14ac:dyDescent="0.2">
      <c r="A69" s="60"/>
      <c r="B69" s="215">
        <v>41</v>
      </c>
      <c r="C69" s="212">
        <f t="shared" ca="1" si="0"/>
        <v>47167</v>
      </c>
      <c r="D69" s="208">
        <f t="shared" si="1"/>
        <v>0</v>
      </c>
      <c r="E69" s="196">
        <v>0</v>
      </c>
      <c r="F69" s="196">
        <f t="shared" si="2"/>
        <v>0</v>
      </c>
      <c r="G69" s="286">
        <f t="shared" si="3"/>
        <v>0</v>
      </c>
      <c r="H69" s="291"/>
      <c r="I69" s="134"/>
      <c r="J69" s="134"/>
    </row>
    <row r="70" spans="1:10" x14ac:dyDescent="0.2">
      <c r="A70" s="60"/>
      <c r="B70" s="215">
        <v>42</v>
      </c>
      <c r="C70" s="212">
        <f t="shared" ca="1" si="0"/>
        <v>47195</v>
      </c>
      <c r="D70" s="208">
        <f t="shared" si="1"/>
        <v>0</v>
      </c>
      <c r="E70" s="196">
        <v>0</v>
      </c>
      <c r="F70" s="196">
        <f t="shared" si="2"/>
        <v>0</v>
      </c>
      <c r="G70" s="286">
        <f t="shared" si="3"/>
        <v>0</v>
      </c>
      <c r="H70" s="291"/>
      <c r="I70" s="134"/>
      <c r="J70" s="134"/>
    </row>
    <row r="71" spans="1:10" x14ac:dyDescent="0.2">
      <c r="A71" s="60"/>
      <c r="B71" s="215">
        <v>43</v>
      </c>
      <c r="C71" s="212">
        <f t="shared" ca="1" si="0"/>
        <v>47226</v>
      </c>
      <c r="D71" s="208">
        <f t="shared" si="1"/>
        <v>0</v>
      </c>
      <c r="E71" s="196">
        <v>0</v>
      </c>
      <c r="F71" s="196">
        <f t="shared" si="2"/>
        <v>0</v>
      </c>
      <c r="G71" s="286">
        <f t="shared" si="3"/>
        <v>0</v>
      </c>
      <c r="H71" s="291"/>
      <c r="I71" s="134"/>
      <c r="J71" s="134"/>
    </row>
    <row r="72" spans="1:10" x14ac:dyDescent="0.2">
      <c r="A72" s="60"/>
      <c r="B72" s="215">
        <v>44</v>
      </c>
      <c r="C72" s="212">
        <f t="shared" ca="1" si="0"/>
        <v>47256</v>
      </c>
      <c r="D72" s="208">
        <f t="shared" si="1"/>
        <v>0</v>
      </c>
      <c r="E72" s="196">
        <v>0</v>
      </c>
      <c r="F72" s="196">
        <f t="shared" si="2"/>
        <v>0</v>
      </c>
      <c r="G72" s="286">
        <f t="shared" si="3"/>
        <v>0</v>
      </c>
      <c r="H72" s="291"/>
      <c r="I72" s="134"/>
      <c r="J72" s="134"/>
    </row>
    <row r="73" spans="1:10" x14ac:dyDescent="0.2">
      <c r="A73" s="60"/>
      <c r="B73" s="215">
        <v>45</v>
      </c>
      <c r="C73" s="212">
        <f t="shared" ca="1" si="0"/>
        <v>47287</v>
      </c>
      <c r="D73" s="208">
        <f t="shared" si="1"/>
        <v>0</v>
      </c>
      <c r="E73" s="196">
        <v>0</v>
      </c>
      <c r="F73" s="196">
        <f t="shared" si="2"/>
        <v>0</v>
      </c>
      <c r="G73" s="286">
        <f t="shared" si="3"/>
        <v>0</v>
      </c>
      <c r="H73" s="291"/>
      <c r="I73" s="134"/>
      <c r="J73" s="134"/>
    </row>
    <row r="74" spans="1:10" x14ac:dyDescent="0.2">
      <c r="A74" s="60"/>
      <c r="B74" s="215">
        <v>46</v>
      </c>
      <c r="C74" s="212">
        <f t="shared" ca="1" si="0"/>
        <v>47317</v>
      </c>
      <c r="D74" s="208">
        <f t="shared" si="1"/>
        <v>0</v>
      </c>
      <c r="E74" s="196">
        <v>0</v>
      </c>
      <c r="F74" s="196">
        <f t="shared" si="2"/>
        <v>0</v>
      </c>
      <c r="G74" s="286">
        <f t="shared" si="3"/>
        <v>0</v>
      </c>
      <c r="H74" s="291"/>
      <c r="I74" s="134"/>
      <c r="J74" s="134"/>
    </row>
    <row r="75" spans="1:10" x14ac:dyDescent="0.2">
      <c r="A75" s="60"/>
      <c r="B75" s="215">
        <v>47</v>
      </c>
      <c r="C75" s="212">
        <f t="shared" ca="1" si="0"/>
        <v>47348</v>
      </c>
      <c r="D75" s="208">
        <f t="shared" si="1"/>
        <v>0</v>
      </c>
      <c r="E75" s="196">
        <v>0</v>
      </c>
      <c r="F75" s="196">
        <f t="shared" si="2"/>
        <v>0</v>
      </c>
      <c r="G75" s="286">
        <f t="shared" si="3"/>
        <v>0</v>
      </c>
      <c r="H75" s="291"/>
      <c r="I75" s="134"/>
      <c r="J75" s="134"/>
    </row>
    <row r="76" spans="1:10" x14ac:dyDescent="0.2">
      <c r="A76" s="60"/>
      <c r="B76" s="215">
        <v>48</v>
      </c>
      <c r="C76" s="212">
        <f t="shared" ca="1" si="0"/>
        <v>47379</v>
      </c>
      <c r="D76" s="208">
        <f t="shared" si="1"/>
        <v>0</v>
      </c>
      <c r="E76" s="196">
        <v>0</v>
      </c>
      <c r="F76" s="196">
        <f t="shared" si="2"/>
        <v>0</v>
      </c>
      <c r="G76" s="286">
        <f t="shared" si="3"/>
        <v>0</v>
      </c>
      <c r="H76" s="291"/>
      <c r="I76" s="134"/>
      <c r="J76" s="134"/>
    </row>
    <row r="77" spans="1:10" x14ac:dyDescent="0.2">
      <c r="A77" s="60"/>
      <c r="B77" s="215">
        <v>49</v>
      </c>
      <c r="C77" s="212">
        <f t="shared" ca="1" si="0"/>
        <v>47409</v>
      </c>
      <c r="D77" s="208">
        <f t="shared" si="1"/>
        <v>0</v>
      </c>
      <c r="E77" s="196">
        <v>0</v>
      </c>
      <c r="F77" s="196">
        <f t="shared" si="2"/>
        <v>0</v>
      </c>
      <c r="G77" s="286">
        <f t="shared" si="3"/>
        <v>0</v>
      </c>
      <c r="H77" s="291"/>
      <c r="I77" s="134"/>
      <c r="J77" s="134"/>
    </row>
    <row r="78" spans="1:10" x14ac:dyDescent="0.2">
      <c r="A78" s="60"/>
      <c r="B78" s="215">
        <v>50</v>
      </c>
      <c r="C78" s="212">
        <f t="shared" ca="1" si="0"/>
        <v>47440</v>
      </c>
      <c r="D78" s="208">
        <f t="shared" si="1"/>
        <v>0</v>
      </c>
      <c r="E78" s="196">
        <v>0</v>
      </c>
      <c r="F78" s="196">
        <f t="shared" si="2"/>
        <v>0</v>
      </c>
      <c r="G78" s="286">
        <f t="shared" si="3"/>
        <v>0</v>
      </c>
      <c r="H78" s="291"/>
      <c r="I78" s="134"/>
      <c r="J78" s="134"/>
    </row>
    <row r="79" spans="1:10" x14ac:dyDescent="0.2">
      <c r="A79" s="60"/>
      <c r="B79" s="215">
        <v>51</v>
      </c>
      <c r="C79" s="212">
        <f t="shared" ca="1" si="0"/>
        <v>47470</v>
      </c>
      <c r="D79" s="208">
        <f t="shared" si="1"/>
        <v>0</v>
      </c>
      <c r="E79" s="196">
        <v>0</v>
      </c>
      <c r="F79" s="196">
        <f t="shared" si="2"/>
        <v>0</v>
      </c>
      <c r="G79" s="286">
        <f t="shared" si="3"/>
        <v>0</v>
      </c>
      <c r="H79" s="291"/>
      <c r="I79" s="134"/>
      <c r="J79" s="134"/>
    </row>
    <row r="80" spans="1:10" x14ac:dyDescent="0.2">
      <c r="A80" s="60"/>
      <c r="B80" s="215">
        <v>52</v>
      </c>
      <c r="C80" s="212">
        <f t="shared" ca="1" si="0"/>
        <v>47501</v>
      </c>
      <c r="D80" s="208">
        <f t="shared" si="1"/>
        <v>0</v>
      </c>
      <c r="E80" s="196">
        <v>0</v>
      </c>
      <c r="F80" s="196">
        <f t="shared" si="2"/>
        <v>0</v>
      </c>
      <c r="G80" s="286">
        <f t="shared" si="3"/>
        <v>0</v>
      </c>
      <c r="H80" s="291"/>
      <c r="I80" s="134"/>
      <c r="J80" s="134"/>
    </row>
    <row r="81" spans="1:10" x14ac:dyDescent="0.2">
      <c r="A81" s="60"/>
      <c r="B81" s="215">
        <v>53</v>
      </c>
      <c r="C81" s="212">
        <f t="shared" ca="1" si="0"/>
        <v>47532</v>
      </c>
      <c r="D81" s="208">
        <f t="shared" si="1"/>
        <v>0</v>
      </c>
      <c r="E81" s="196">
        <v>0</v>
      </c>
      <c r="F81" s="196">
        <f t="shared" si="2"/>
        <v>0</v>
      </c>
      <c r="G81" s="286">
        <f t="shared" si="3"/>
        <v>0</v>
      </c>
      <c r="H81" s="291"/>
      <c r="I81" s="134"/>
      <c r="J81" s="134"/>
    </row>
    <row r="82" spans="1:10" x14ac:dyDescent="0.2">
      <c r="A82" s="60"/>
      <c r="B82" s="215">
        <v>54</v>
      </c>
      <c r="C82" s="212">
        <f t="shared" ca="1" si="0"/>
        <v>47560</v>
      </c>
      <c r="D82" s="208">
        <f t="shared" si="1"/>
        <v>0</v>
      </c>
      <c r="E82" s="196">
        <v>0</v>
      </c>
      <c r="F82" s="196">
        <f t="shared" si="2"/>
        <v>0</v>
      </c>
      <c r="G82" s="286">
        <f t="shared" si="3"/>
        <v>0</v>
      </c>
      <c r="H82" s="291"/>
      <c r="I82" s="134"/>
      <c r="J82" s="134"/>
    </row>
    <row r="83" spans="1:10" x14ac:dyDescent="0.2">
      <c r="A83" s="60"/>
      <c r="B83" s="215">
        <v>55</v>
      </c>
      <c r="C83" s="212">
        <f t="shared" ca="1" si="0"/>
        <v>47591</v>
      </c>
      <c r="D83" s="208">
        <f t="shared" si="1"/>
        <v>0</v>
      </c>
      <c r="E83" s="196">
        <v>0</v>
      </c>
      <c r="F83" s="196">
        <f t="shared" si="2"/>
        <v>0</v>
      </c>
      <c r="G83" s="286">
        <f t="shared" si="3"/>
        <v>0</v>
      </c>
      <c r="H83" s="291"/>
      <c r="I83" s="134"/>
      <c r="J83" s="134"/>
    </row>
    <row r="84" spans="1:10" x14ac:dyDescent="0.2">
      <c r="A84" s="60"/>
      <c r="B84" s="215">
        <v>56</v>
      </c>
      <c r="C84" s="212">
        <f t="shared" ca="1" si="0"/>
        <v>47621</v>
      </c>
      <c r="D84" s="208">
        <f t="shared" si="1"/>
        <v>0</v>
      </c>
      <c r="E84" s="196">
        <v>0</v>
      </c>
      <c r="F84" s="196">
        <f t="shared" si="2"/>
        <v>0</v>
      </c>
      <c r="G84" s="286">
        <f t="shared" si="3"/>
        <v>0</v>
      </c>
      <c r="H84" s="291"/>
      <c r="I84" s="134"/>
      <c r="J84" s="134"/>
    </row>
    <row r="85" spans="1:10" x14ac:dyDescent="0.2">
      <c r="A85" s="60"/>
      <c r="B85" s="215">
        <v>57</v>
      </c>
      <c r="C85" s="212">
        <f t="shared" ca="1" si="0"/>
        <v>47652</v>
      </c>
      <c r="D85" s="208">
        <f t="shared" si="1"/>
        <v>0</v>
      </c>
      <c r="E85" s="196">
        <v>0</v>
      </c>
      <c r="F85" s="196">
        <f t="shared" si="2"/>
        <v>0</v>
      </c>
      <c r="G85" s="286">
        <f t="shared" si="3"/>
        <v>0</v>
      </c>
      <c r="H85" s="291"/>
      <c r="I85" s="134"/>
      <c r="J85" s="134"/>
    </row>
    <row r="86" spans="1:10" x14ac:dyDescent="0.2">
      <c r="A86" s="60"/>
      <c r="B86" s="215">
        <v>58</v>
      </c>
      <c r="C86" s="212">
        <f t="shared" ca="1" si="0"/>
        <v>47682</v>
      </c>
      <c r="D86" s="208">
        <f t="shared" si="1"/>
        <v>0</v>
      </c>
      <c r="E86" s="196">
        <v>0</v>
      </c>
      <c r="F86" s="196">
        <f t="shared" si="2"/>
        <v>0</v>
      </c>
      <c r="G86" s="286">
        <f t="shared" si="3"/>
        <v>0</v>
      </c>
      <c r="H86" s="291"/>
      <c r="I86" s="134"/>
      <c r="J86" s="134"/>
    </row>
    <row r="87" spans="1:10" x14ac:dyDescent="0.2">
      <c r="A87" s="60"/>
      <c r="B87" s="215">
        <v>59</v>
      </c>
      <c r="C87" s="212">
        <f t="shared" ca="1" si="0"/>
        <v>47713</v>
      </c>
      <c r="D87" s="208">
        <f t="shared" si="1"/>
        <v>0</v>
      </c>
      <c r="E87" s="196">
        <v>0</v>
      </c>
      <c r="F87" s="196">
        <f t="shared" si="2"/>
        <v>0</v>
      </c>
      <c r="G87" s="286">
        <f t="shared" si="3"/>
        <v>0</v>
      </c>
      <c r="H87" s="291"/>
      <c r="I87" s="134"/>
      <c r="J87" s="134"/>
    </row>
    <row r="88" spans="1:10" ht="13.5" thickBot="1" x14ac:dyDescent="0.25">
      <c r="A88" s="60"/>
      <c r="B88" s="216">
        <v>60</v>
      </c>
      <c r="C88" s="213">
        <f t="shared" ca="1" si="0"/>
        <v>47744</v>
      </c>
      <c r="D88" s="209">
        <f t="shared" si="1"/>
        <v>0</v>
      </c>
      <c r="E88" s="210">
        <v>0</v>
      </c>
      <c r="F88" s="210">
        <f t="shared" si="2"/>
        <v>0</v>
      </c>
      <c r="G88" s="294">
        <f t="shared" si="3"/>
        <v>0</v>
      </c>
      <c r="H88" s="295"/>
      <c r="I88" s="134"/>
      <c r="J88" s="134"/>
    </row>
    <row r="89" spans="1:10" ht="16.5" thickBot="1" x14ac:dyDescent="0.25">
      <c r="A89" s="60"/>
      <c r="B89" s="269" t="s">
        <v>3</v>
      </c>
      <c r="C89" s="287"/>
      <c r="D89" s="206">
        <f>SUM(D29:D88)</f>
        <v>100000</v>
      </c>
      <c r="E89" s="206">
        <f>SUM(E29:E88)</f>
        <v>0</v>
      </c>
      <c r="F89" s="206">
        <f>SUM(F29:F88)</f>
        <v>95654.947228271398</v>
      </c>
      <c r="G89" s="292">
        <f>SUM(G29:H88)</f>
        <v>195654.94722827146</v>
      </c>
      <c r="H89" s="293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3" t="s">
        <v>5</v>
      </c>
      <c r="F91" s="273"/>
      <c r="G91" s="273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algorithmName="SHA-512" hashValue="yTupp6uB1D6Zoqoox+8ENYv8KRXqlb/W1OzvFm6QB40q7glcEuSNvRd9IrjiLtu7+9M7f+Ow3lI1X8k0QEp7+Q==" saltValue="nOYmabUCUoqUplFikYBS+Q==" spinCount="100000" sheet="1" objects="1" scenarios="1" selectLockedCells="1"/>
  <dataConsolidate/>
  <mergeCells count="87"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B15:E15"/>
    <mergeCell ref="G15:H15"/>
    <mergeCell ref="B18:E18"/>
    <mergeCell ref="G18:H18"/>
    <mergeCell ref="B20:E20"/>
    <mergeCell ref="G20:H20"/>
    <mergeCell ref="B9:E9"/>
    <mergeCell ref="G9:H9"/>
    <mergeCell ref="B11:E11"/>
    <mergeCell ref="G11:H11"/>
    <mergeCell ref="B13:E13"/>
    <mergeCell ref="G13:H13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500-000000000000}">
      <formula1>$K$16:$K$19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6">
    <tabColor rgb="FF00B0F0"/>
    <pageSetUpPr fitToPage="1"/>
  </sheetPr>
  <dimension ref="A1:AC98"/>
  <sheetViews>
    <sheetView tabSelected="1" view="pageBreakPreview" zoomScaleNormal="70" zoomScaleSheetLayoutView="100" workbookViewId="0">
      <pane ySplit="4" topLeftCell="A5" activePane="bottomLeft" state="frozen"/>
      <selection activeCell="F4" sqref="F4"/>
      <selection pane="bottomLeft" activeCell="F5" sqref="F5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34.140625" style="4" hidden="1" customWidth="1" outlineLevel="1"/>
    <col min="12" max="12" width="29.7109375" style="4" hidden="1" customWidth="1" outlineLevel="1"/>
    <col min="13" max="13" width="18.7109375" style="122" customWidth="1" collapsed="1"/>
    <col min="14" max="14" width="17.140625" style="122" customWidth="1"/>
    <col min="15" max="29" width="9.140625" style="122"/>
    <col min="30" max="16384" width="9.140625" style="4"/>
  </cols>
  <sheetData>
    <row r="1" spans="1:14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14" ht="12.75" customHeight="1" x14ac:dyDescent="0.2">
      <c r="A2" s="2"/>
      <c r="B2" s="61"/>
      <c r="C2" s="61"/>
      <c r="D2" s="61"/>
      <c r="E2" s="139">
        <f>VLOOKUP('Цільовий без СК_-10%'!H2,Лист2!A:O,14,FALSE)</f>
        <v>0</v>
      </c>
      <c r="F2" s="126">
        <f>VLOOKUP(H$2,Лист2!$A:$H,2,0)</f>
        <v>500000</v>
      </c>
      <c r="G2" s="185">
        <f ca="1">TODAY()</f>
        <v>45918</v>
      </c>
      <c r="H2" s="243" t="s">
        <v>90</v>
      </c>
      <c r="I2" s="244"/>
      <c r="J2" s="50"/>
      <c r="M2" s="201"/>
      <c r="N2" s="201"/>
    </row>
    <row r="3" spans="1:14" ht="13.7" customHeight="1" thickBot="1" x14ac:dyDescent="0.25">
      <c r="A3" s="2"/>
      <c r="B3" s="61"/>
      <c r="C3" s="61"/>
      <c r="D3" s="61"/>
      <c r="E3" s="140">
        <f>IF(F5&lt;E2,"x",IF(F5&gt;F2,"y",F5))</f>
        <v>100000</v>
      </c>
      <c r="F3" s="245" t="str">
        <f>IF(E3="x","Збільшіть суму",IF(E3="y","Зменшіть суму",""))</f>
        <v/>
      </c>
      <c r="G3" s="77">
        <f>Назви!B35</f>
        <v>30.4</v>
      </c>
      <c r="H3" s="247" t="str">
        <f>VLOOKUP(H$2,Лист2!$A:$H,8,0)</f>
        <v>max. 500000 грн.</v>
      </c>
      <c r="I3" s="248"/>
      <c r="J3" s="50"/>
    </row>
    <row r="4" spans="1:14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14" ht="21" customHeight="1" thickBot="1" x14ac:dyDescent="0.25">
      <c r="A5" s="1"/>
      <c r="B5" s="277" t="s">
        <v>82</v>
      </c>
      <c r="C5" s="278"/>
      <c r="D5" s="278"/>
      <c r="E5" s="279"/>
      <c r="F5" s="205">
        <v>100000</v>
      </c>
      <c r="G5" s="203" t="s">
        <v>31</v>
      </c>
      <c r="H5" s="204"/>
      <c r="I5" s="3"/>
      <c r="J5" s="51"/>
      <c r="K5" s="69"/>
    </row>
    <row r="6" spans="1:14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14" ht="13.9" customHeight="1" x14ac:dyDescent="0.2">
      <c r="A7" s="1"/>
      <c r="B7" s="252" t="s">
        <v>81</v>
      </c>
      <c r="C7" s="253"/>
      <c r="D7" s="253"/>
      <c r="E7" s="254"/>
      <c r="F7" s="13">
        <f>E19</f>
        <v>100000</v>
      </c>
      <c r="G7" s="43"/>
      <c r="H7" s="42"/>
      <c r="I7" s="2"/>
      <c r="J7" s="52"/>
      <c r="K7" s="69"/>
    </row>
    <row r="8" spans="1:14" x14ac:dyDescent="0.2">
      <c r="A8" s="1"/>
      <c r="B8" s="5"/>
      <c r="C8" s="2"/>
      <c r="D8" s="5"/>
      <c r="E8" s="2"/>
      <c r="F8" s="183">
        <f>F7-D31</f>
        <v>99900.822512160637</v>
      </c>
      <c r="G8" s="43"/>
      <c r="H8" s="42"/>
      <c r="I8" s="2"/>
      <c r="J8" s="52"/>
      <c r="K8" s="69"/>
    </row>
    <row r="9" spans="1:14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>
        <f>VLOOKUP(H$2,Лист2!$A:$H,4,0)</f>
        <v>0.89990000000000003</v>
      </c>
      <c r="G9" s="280"/>
      <c r="H9" s="280"/>
      <c r="I9" s="3"/>
      <c r="J9" s="51"/>
      <c r="K9" s="69"/>
    </row>
    <row r="10" spans="1:14" x14ac:dyDescent="0.2">
      <c r="A10" s="1"/>
      <c r="B10" s="1"/>
      <c r="C10" s="1"/>
      <c r="D10" s="1"/>
      <c r="E10" s="1"/>
      <c r="F10" s="1"/>
      <c r="G10" s="190"/>
      <c r="H10" s="190"/>
      <c r="I10" s="3"/>
      <c r="J10" s="51"/>
      <c r="K10" s="69"/>
    </row>
    <row r="11" spans="1:14" x14ac:dyDescent="0.2">
      <c r="A11" s="1"/>
      <c r="B11" s="252" t="str">
        <f>Назви!A5</f>
        <v>Процентна ставка знижена, % річних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>
        <f>VLOOKUP(H$2,Лист2!$A:$H,5,0)</f>
        <v>0.79990000000000006</v>
      </c>
      <c r="G11" s="190"/>
      <c r="H11" s="190"/>
      <c r="I11" s="3"/>
      <c r="J11" s="51"/>
      <c r="K11" s="69"/>
    </row>
    <row r="12" spans="1:14" x14ac:dyDescent="0.2">
      <c r="A12" s="1"/>
      <c r="B12" s="5"/>
      <c r="C12" s="2"/>
      <c r="D12" s="5"/>
      <c r="E12" s="2"/>
      <c r="F12" s="111">
        <v>1.0000000000000001E-5</v>
      </c>
      <c r="G12" s="43"/>
      <c r="H12" s="42"/>
      <c r="I12" s="2"/>
      <c r="J12" s="52"/>
      <c r="K12" s="69"/>
    </row>
    <row r="13" spans="1:14" ht="12.6" customHeight="1" x14ac:dyDescent="0.2">
      <c r="A13" s="1"/>
      <c r="B13" s="252" t="str">
        <f>Назви!A7</f>
        <v>Разовий страховий тариф, %</v>
      </c>
      <c r="C13" s="253">
        <f>Назви!B7</f>
        <v>0</v>
      </c>
      <c r="D13" s="253">
        <f>Назви!C7</f>
        <v>0</v>
      </c>
      <c r="E13" s="254">
        <f>Назви!D7</f>
        <v>0</v>
      </c>
      <c r="F13" s="38">
        <f>VLOOKUP(H$2,Лист2!$A:$H,6,0)</f>
        <v>0</v>
      </c>
      <c r="G13" s="280"/>
      <c r="H13" s="280"/>
      <c r="I13" s="3"/>
      <c r="J13" s="51"/>
      <c r="K13" s="162" t="e">
        <f>Лист2!#REF!</f>
        <v>#REF!</v>
      </c>
    </row>
    <row r="14" spans="1:14" ht="6.6" customHeight="1" x14ac:dyDescent="0.2">
      <c r="A14" s="1"/>
      <c r="B14" s="5"/>
      <c r="C14" s="2"/>
      <c r="D14" s="5"/>
      <c r="E14" s="2"/>
      <c r="F14" s="44"/>
      <c r="G14" s="43"/>
      <c r="H14" s="42"/>
      <c r="I14" s="2"/>
      <c r="J14" s="52"/>
      <c r="K14" s="162" t="e">
        <f>Лист2!#REF!</f>
        <v>#REF!</v>
      </c>
    </row>
    <row r="15" spans="1:14" x14ac:dyDescent="0.2">
      <c r="A15" s="1"/>
      <c r="B15" s="252" t="str">
        <f>Назви!A9</f>
        <v xml:space="preserve">Щомісячна плата за обслуговування кредитної заборгованості, % </v>
      </c>
      <c r="C15" s="253">
        <f>Назви!B9</f>
        <v>0</v>
      </c>
      <c r="D15" s="253">
        <f>Назви!C9</f>
        <v>0</v>
      </c>
      <c r="E15" s="254">
        <f>Назви!D9</f>
        <v>0</v>
      </c>
      <c r="F15" s="38">
        <f>VLOOKUP(H$2,Лист2!$A:$H,7,0)</f>
        <v>0</v>
      </c>
      <c r="G15" s="280"/>
      <c r="H15" s="280"/>
      <c r="I15" s="3"/>
      <c r="J15" s="51"/>
      <c r="K15" s="162" t="e">
        <f>Лист2!#REF!</f>
        <v>#REF!</v>
      </c>
    </row>
    <row r="16" spans="1:14" ht="6.75" customHeight="1" x14ac:dyDescent="0.2">
      <c r="A16" s="1"/>
      <c r="B16" s="5"/>
      <c r="C16" s="2"/>
      <c r="D16" s="5"/>
      <c r="E16" s="2"/>
      <c r="F16" s="9"/>
      <c r="G16" s="43"/>
      <c r="H16" s="42"/>
      <c r="I16" s="2"/>
      <c r="J16" s="52"/>
      <c r="K16" s="162" t="e">
        <f>Лист2!#REF!</f>
        <v>#REF!</v>
      </c>
    </row>
    <row r="17" spans="1:29" x14ac:dyDescent="0.2">
      <c r="A17" s="1"/>
      <c r="B17" s="252" t="str">
        <f>Назви!A11</f>
        <v>Термін кредитування (міс.)</v>
      </c>
      <c r="C17" s="253">
        <f>Назви!B11</f>
        <v>0</v>
      </c>
      <c r="D17" s="253">
        <f>Назви!C11</f>
        <v>0</v>
      </c>
      <c r="E17" s="254">
        <f>Назви!D11</f>
        <v>0</v>
      </c>
      <c r="F17" s="64">
        <f>VLOOKUP(H$2,Лист2!$A:$H,3,0)</f>
        <v>60</v>
      </c>
      <c r="G17" s="280"/>
      <c r="H17" s="280"/>
      <c r="I17" s="3"/>
      <c r="J17" s="51"/>
      <c r="K17" s="162" t="e">
        <f>Лист2!#REF!</f>
        <v>#REF!</v>
      </c>
    </row>
    <row r="18" spans="1:29" s="12" customFormat="1" ht="7.9" customHeight="1" x14ac:dyDescent="0.2">
      <c r="A18" s="1"/>
      <c r="B18" s="10"/>
      <c r="C18" s="59"/>
      <c r="D18" s="116"/>
      <c r="E18" s="182">
        <f>F5*F13</f>
        <v>0</v>
      </c>
      <c r="F18" s="61"/>
      <c r="G18" s="120"/>
      <c r="H18" s="11"/>
      <c r="I18" s="1"/>
      <c r="J18" s="52"/>
      <c r="K18" s="162" t="str">
        <f>Лист2!A4</f>
        <v xml:space="preserve">Цільовий, 60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11.25" customHeight="1" x14ac:dyDescent="0.2">
      <c r="A19" s="1"/>
      <c r="B19" s="10"/>
      <c r="C19" s="59"/>
      <c r="D19" s="116"/>
      <c r="E19" s="183">
        <f>E18+E3</f>
        <v>100000</v>
      </c>
      <c r="F19" s="61"/>
      <c r="G19" s="120"/>
      <c r="H19" s="11"/>
      <c r="I19" s="1"/>
      <c r="J19" s="124"/>
      <c r="K19" s="162" t="str">
        <f>Лист2!A5</f>
        <v xml:space="preserve">Цільовий, 36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Назви!A14</f>
        <v>Орієнтовний платіж, грн.</v>
      </c>
      <c r="C20" s="256">
        <f>Назви!B14</f>
        <v>0</v>
      </c>
      <c r="D20" s="256">
        <f>Назви!C14</f>
        <v>0</v>
      </c>
      <c r="E20" s="257">
        <f>Назви!D14</f>
        <v>0</v>
      </c>
      <c r="F20" s="13">
        <f>PMT(F9/12,F17,-E19)+F15*E19</f>
        <v>7598.3441545060323</v>
      </c>
      <c r="G20" s="283"/>
      <c r="H20" s="284"/>
      <c r="I20" s="133"/>
      <c r="J20" s="52"/>
      <c r="K20" s="162" t="str">
        <f>Лист2!A6</f>
        <v xml:space="preserve">Цільовий, 24 міс. 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5"/>
      <c r="C21" s="15"/>
      <c r="D21" s="15"/>
      <c r="E21" s="15"/>
      <c r="F21" s="16"/>
      <c r="G21" s="17"/>
      <c r="H21" s="18"/>
      <c r="I21" s="1"/>
      <c r="J21" s="53"/>
      <c r="K21" s="162" t="str">
        <f>Лист2!A7</f>
        <v xml:space="preserve">Цільовий, 12 міс. 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Назви!A16</f>
        <v>Орієнтовні загальні витрати за кредитом, грн.</v>
      </c>
      <c r="C22" s="256">
        <f>Назви!B16</f>
        <v>0</v>
      </c>
      <c r="D22" s="256">
        <f>Назви!C16</f>
        <v>0</v>
      </c>
      <c r="E22" s="257">
        <f>Назви!D16</f>
        <v>0</v>
      </c>
      <c r="F22" s="13">
        <f>F91-E3</f>
        <v>309415.94543228648</v>
      </c>
      <c r="G22" s="285"/>
      <c r="H22" s="285"/>
      <c r="I22" s="1"/>
      <c r="J22" s="53"/>
      <c r="K22" s="162">
        <f>Лист2!A8</f>
        <v>0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9"/>
      <c r="C23" s="19"/>
      <c r="D23" s="19"/>
      <c r="E23" s="19"/>
      <c r="F23" s="20"/>
      <c r="G23" s="17"/>
      <c r="H23" s="18"/>
      <c r="I23" s="1"/>
      <c r="J23" s="53"/>
      <c r="K23" s="162">
        <f>Лист2!A9</f>
        <v>0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Назви!A18</f>
        <v>Орієнтовна загальна вартість кредиту, грн.</v>
      </c>
      <c r="C24" s="256">
        <f>Назви!B18</f>
        <v>0</v>
      </c>
      <c r="D24" s="256">
        <f>Назви!C18</f>
        <v>0</v>
      </c>
      <c r="E24" s="257">
        <f>Назви!D18</f>
        <v>0</v>
      </c>
      <c r="F24" s="13">
        <f>F7+F22</f>
        <v>409415.94543228648</v>
      </c>
      <c r="G24" s="280"/>
      <c r="H24" s="280"/>
      <c r="I24" s="1"/>
      <c r="J24" s="53"/>
      <c r="K24" s="162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7.15" customHeight="1" x14ac:dyDescent="0.2">
      <c r="A25" s="1"/>
      <c r="B25" s="15"/>
      <c r="C25" s="15"/>
      <c r="D25" s="15"/>
      <c r="E25" s="15"/>
      <c r="F25" s="9"/>
      <c r="G25" s="17"/>
      <c r="H25" s="18"/>
      <c r="I25" s="1"/>
      <c r="J25" s="1"/>
      <c r="K25" s="162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s="12" customFormat="1" x14ac:dyDescent="0.2">
      <c r="A26" s="1"/>
      <c r="B26" s="255" t="str">
        <f>Назви!A20</f>
        <v>Реальна річна процентна ставка, %</v>
      </c>
      <c r="C26" s="256"/>
      <c r="D26" s="256"/>
      <c r="E26" s="257"/>
      <c r="F26" s="38">
        <f ca="1">XIRR(F30:F90,C30:C90)</f>
        <v>1.1841941714286806</v>
      </c>
      <c r="G26" s="17"/>
      <c r="H26" s="18"/>
      <c r="I26" s="1"/>
      <c r="J26" s="1"/>
      <c r="K26" s="162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</row>
    <row r="27" spans="1:29" s="12" customFormat="1" ht="13.5" thickBot="1" x14ac:dyDescent="0.25">
      <c r="A27" s="1"/>
      <c r="B27" s="27"/>
      <c r="C27" s="15"/>
      <c r="D27" s="130"/>
      <c r="E27" s="28"/>
      <c r="F27" s="29"/>
      <c r="G27" s="18"/>
      <c r="H27" s="17"/>
      <c r="I27" s="1"/>
      <c r="J27" s="1"/>
      <c r="K27" s="162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</row>
    <row r="28" spans="1:29" ht="18.75" thickBot="1" x14ac:dyDescent="0.25">
      <c r="A28" s="1"/>
      <c r="B28" s="262" t="str">
        <f>Назви!A29</f>
        <v>Орієнтовний порядок повернення кредиту</v>
      </c>
      <c r="C28" s="263"/>
      <c r="D28" s="263"/>
      <c r="E28" s="263"/>
      <c r="F28" s="263"/>
      <c r="G28" s="264"/>
      <c r="H28" s="3"/>
      <c r="I28" s="3"/>
      <c r="K28" s="162"/>
    </row>
    <row r="29" spans="1:29" ht="31.15" customHeight="1" thickBot="1" x14ac:dyDescent="0.25">
      <c r="A29" s="1"/>
      <c r="B29" s="186" t="s">
        <v>79</v>
      </c>
      <c r="C29" s="186" t="str">
        <f>Назви!A30</f>
        <v>Місяць</v>
      </c>
      <c r="D29" s="119" t="str">
        <f>Назви!C30</f>
        <v>Погашення суми кредиту, грн.</v>
      </c>
      <c r="E29" s="119" t="str">
        <f>Назви!E30</f>
        <v>Проценти за користування кредитом, грн.</v>
      </c>
      <c r="F29" s="265" t="str">
        <f>Назви!F30</f>
        <v>Сума платежу за розрахунковий період, грн.</v>
      </c>
      <c r="G29" s="266"/>
      <c r="H29" s="3"/>
      <c r="I29" s="3"/>
      <c r="J29" s="162" t="e">
        <f>Лист2!#REF!</f>
        <v>#REF!</v>
      </c>
      <c r="K29" s="162"/>
      <c r="L29" s="122"/>
      <c r="AC29" s="4"/>
    </row>
    <row r="30" spans="1:29" ht="12.6" hidden="1" customHeight="1" thickBot="1" x14ac:dyDescent="0.25">
      <c r="A30" s="1"/>
      <c r="B30" s="112">
        <v>0</v>
      </c>
      <c r="C30" s="187">
        <f ca="1">TODAY()</f>
        <v>45918</v>
      </c>
      <c r="D30" s="113"/>
      <c r="E30" s="113"/>
      <c r="F30" s="281">
        <f>-1*E3</f>
        <v>-100000</v>
      </c>
      <c r="G30" s="282"/>
      <c r="H30" s="3"/>
      <c r="I30" s="3"/>
      <c r="J30" s="162" t="e">
        <f>Лист2!#REF!</f>
        <v>#REF!</v>
      </c>
      <c r="K30" s="162"/>
      <c r="L30" s="122"/>
      <c r="AC30" s="4"/>
    </row>
    <row r="31" spans="1:29" ht="13.5" thickBot="1" x14ac:dyDescent="0.25">
      <c r="A31" s="1">
        <v>1</v>
      </c>
      <c r="B31" s="129">
        <v>1</v>
      </c>
      <c r="C31" s="136">
        <f ca="1">DATE(YEAR(C30),MONTH(C30)+1,DAY(C30))</f>
        <v>45948</v>
      </c>
      <c r="D31" s="193">
        <f>IFERROR(PPMT($F$9/12,B31,$F$17,-$E$19),0)</f>
        <v>99.177487839365142</v>
      </c>
      <c r="E31" s="194">
        <f>IFERROR(IPMT($F$9/12,B31,$F$17,-$F$7),0)</f>
        <v>7499.1666666666661</v>
      </c>
      <c r="F31" s="286">
        <f t="shared" ref="F31:F62" si="0">SUM(D31:E31)</f>
        <v>7598.3441545060314</v>
      </c>
      <c r="G31" s="286"/>
      <c r="H31" s="3"/>
      <c r="I31" s="3"/>
      <c r="J31" s="162" t="e">
        <f>Лист2!#REF!</f>
        <v>#REF!</v>
      </c>
      <c r="K31" s="162"/>
      <c r="L31" s="122"/>
      <c r="AC31" s="4"/>
    </row>
    <row r="32" spans="1:29" ht="13.5" thickBot="1" x14ac:dyDescent="0.25">
      <c r="A32" s="1">
        <v>2</v>
      </c>
      <c r="B32" s="128">
        <v>2</v>
      </c>
      <c r="C32" s="132">
        <f t="shared" ref="C32:C90" ca="1" si="1">DATE(YEAR(C31),MONTH(C31)+1,DAY(C31))</f>
        <v>45979</v>
      </c>
      <c r="D32" s="195">
        <f>IFERROR(PPMT($F$11/12,(B32-1),($F$17-1),-$F$8),0)</f>
        <v>151.24549097768519</v>
      </c>
      <c r="E32" s="194">
        <f>IFERROR(IPMT($F$11/12,(B32-1),($F$17-1),-$F$8),0)</f>
        <v>6659.2223272897745</v>
      </c>
      <c r="F32" s="286">
        <f t="shared" si="0"/>
        <v>6810.4678182674597</v>
      </c>
      <c r="G32" s="286"/>
      <c r="H32" s="3"/>
      <c r="I32" s="3"/>
      <c r="J32" s="162" t="e">
        <f>Лист2!#REF!</f>
        <v>#REF!</v>
      </c>
      <c r="K32" s="162"/>
      <c r="L32" s="122"/>
      <c r="AC32" s="4"/>
    </row>
    <row r="33" spans="1:29" ht="13.5" thickBot="1" x14ac:dyDescent="0.25">
      <c r="A33" s="1">
        <v>3</v>
      </c>
      <c r="B33" s="128">
        <v>3</v>
      </c>
      <c r="C33" s="132">
        <f t="shared" ca="1" si="1"/>
        <v>46009</v>
      </c>
      <c r="D33" s="195">
        <f t="shared" ref="D33:D90" si="2">IFERROR(PPMT($F$11/12,(B33-1),($F$17-1),-$F$8),0)</f>
        <v>161.32726333043939</v>
      </c>
      <c r="E33" s="194">
        <f t="shared" ref="E33:E90" si="3">IFERROR(IPMT($F$11/12,(B33-1),($F$17-1),-$F$8),0)</f>
        <v>6649.1405549370202</v>
      </c>
      <c r="F33" s="286">
        <f t="shared" si="0"/>
        <v>6810.4678182674597</v>
      </c>
      <c r="G33" s="286"/>
      <c r="H33" s="3"/>
      <c r="I33" s="3"/>
      <c r="J33" s="162" t="e">
        <f>Лист2!#REF!</f>
        <v>#REF!</v>
      </c>
      <c r="K33" s="217"/>
      <c r="L33" s="122"/>
      <c r="AC33" s="4"/>
    </row>
    <row r="34" spans="1:29" ht="13.5" thickBot="1" x14ac:dyDescent="0.25">
      <c r="A34" s="1">
        <v>4</v>
      </c>
      <c r="B34" s="128">
        <v>4</v>
      </c>
      <c r="C34" s="132">
        <f t="shared" ca="1" si="1"/>
        <v>46040</v>
      </c>
      <c r="D34" s="195">
        <f t="shared" si="2"/>
        <v>172.08106982527428</v>
      </c>
      <c r="E34" s="194">
        <f t="shared" si="3"/>
        <v>6638.3867484421862</v>
      </c>
      <c r="F34" s="286">
        <f t="shared" si="0"/>
        <v>6810.4678182674606</v>
      </c>
      <c r="G34" s="286"/>
      <c r="H34" s="3"/>
      <c r="I34" s="3"/>
      <c r="J34" s="162" t="e">
        <f>Лист2!#REF!</f>
        <v>#REF!</v>
      </c>
      <c r="K34" s="162"/>
      <c r="L34" s="122"/>
      <c r="AC34" s="4"/>
    </row>
    <row r="35" spans="1:29" ht="13.5" thickBot="1" x14ac:dyDescent="0.25">
      <c r="A35" s="1">
        <v>5</v>
      </c>
      <c r="B35" s="128">
        <v>5</v>
      </c>
      <c r="C35" s="132">
        <f t="shared" ca="1" si="1"/>
        <v>46071</v>
      </c>
      <c r="D35" s="195">
        <f t="shared" si="2"/>
        <v>183.55170713804404</v>
      </c>
      <c r="E35" s="194">
        <f t="shared" si="3"/>
        <v>6626.9161111294152</v>
      </c>
      <c r="F35" s="286">
        <f t="shared" si="0"/>
        <v>6810.4678182674588</v>
      </c>
      <c r="G35" s="286"/>
      <c r="H35" s="3"/>
      <c r="I35" s="3"/>
      <c r="J35" s="162" t="e">
        <f>Лист2!#REF!</f>
        <v>#REF!</v>
      </c>
      <c r="K35" s="162"/>
      <c r="L35" s="122"/>
      <c r="AC35" s="4"/>
    </row>
    <row r="36" spans="1:29" ht="13.5" thickBot="1" x14ac:dyDescent="0.25">
      <c r="A36" s="1">
        <v>6</v>
      </c>
      <c r="B36" s="128">
        <v>6</v>
      </c>
      <c r="C36" s="132">
        <f t="shared" ca="1" si="1"/>
        <v>46099</v>
      </c>
      <c r="D36" s="195">
        <f t="shared" si="2"/>
        <v>195.78695801635416</v>
      </c>
      <c r="E36" s="194">
        <f t="shared" si="3"/>
        <v>6614.6808602511046</v>
      </c>
      <c r="F36" s="286">
        <f t="shared" si="0"/>
        <v>6810.4678182674588</v>
      </c>
      <c r="G36" s="286"/>
      <c r="H36" s="3"/>
      <c r="I36" s="3"/>
      <c r="J36" s="162" t="e">
        <f>Лист2!#REF!</f>
        <v>#REF!</v>
      </c>
      <c r="K36" s="162"/>
      <c r="L36" s="122"/>
      <c r="AC36" s="4"/>
    </row>
    <row r="37" spans="1:29" ht="13.5" thickBot="1" x14ac:dyDescent="0.25">
      <c r="A37" s="1">
        <v>7</v>
      </c>
      <c r="B37" s="128">
        <v>7</v>
      </c>
      <c r="C37" s="132">
        <f t="shared" ca="1" si="1"/>
        <v>46130</v>
      </c>
      <c r="D37" s="195">
        <f t="shared" si="2"/>
        <v>208.83779032612765</v>
      </c>
      <c r="E37" s="194">
        <f t="shared" si="3"/>
        <v>6601.6300279413317</v>
      </c>
      <c r="F37" s="286">
        <f t="shared" si="0"/>
        <v>6810.4678182674597</v>
      </c>
      <c r="G37" s="286"/>
      <c r="H37" s="3"/>
      <c r="I37" s="3"/>
      <c r="J37" s="162" t="e">
        <f>Лист2!#REF!</f>
        <v>#REF!</v>
      </c>
      <c r="K37" s="162"/>
      <c r="L37" s="122"/>
      <c r="AC37" s="4"/>
    </row>
    <row r="38" spans="1:29" ht="13.5" thickBot="1" x14ac:dyDescent="0.25">
      <c r="A38" s="1">
        <v>8</v>
      </c>
      <c r="B38" s="128">
        <v>8</v>
      </c>
      <c r="C38" s="132">
        <f t="shared" ca="1" si="1"/>
        <v>46160</v>
      </c>
      <c r="D38" s="195">
        <f t="shared" si="2"/>
        <v>222.75856936628344</v>
      </c>
      <c r="E38" s="194">
        <f t="shared" si="3"/>
        <v>6587.7092489011757</v>
      </c>
      <c r="F38" s="286">
        <f t="shared" si="0"/>
        <v>6810.4678182674588</v>
      </c>
      <c r="G38" s="286"/>
      <c r="H38" s="3"/>
      <c r="I38" s="3"/>
      <c r="J38" s="162" t="e">
        <f>Лист2!#REF!</f>
        <v>#REF!</v>
      </c>
      <c r="K38" s="162"/>
      <c r="L38" s="122"/>
      <c r="AC38" s="4"/>
    </row>
    <row r="39" spans="1:29" ht="13.5" thickBot="1" x14ac:dyDescent="0.25">
      <c r="A39" s="1">
        <v>9</v>
      </c>
      <c r="B39" s="128">
        <v>9</v>
      </c>
      <c r="C39" s="132">
        <f t="shared" ca="1" si="1"/>
        <v>46191</v>
      </c>
      <c r="D39" s="195">
        <f t="shared" si="2"/>
        <v>237.60728433595762</v>
      </c>
      <c r="E39" s="194">
        <f t="shared" si="3"/>
        <v>6572.8605339315018</v>
      </c>
      <c r="F39" s="286">
        <f t="shared" si="0"/>
        <v>6810.4678182674597</v>
      </c>
      <c r="G39" s="286"/>
      <c r="H39" s="3"/>
      <c r="I39" s="3"/>
      <c r="J39" s="162" t="e">
        <f>Лист2!#REF!</f>
        <v>#REF!</v>
      </c>
      <c r="K39" s="162"/>
      <c r="L39" s="122"/>
      <c r="AC39" s="4"/>
    </row>
    <row r="40" spans="1:29" ht="13.5" thickBot="1" x14ac:dyDescent="0.25">
      <c r="A40" s="1">
        <v>10</v>
      </c>
      <c r="B40" s="128">
        <v>10</v>
      </c>
      <c r="C40" s="132">
        <f t="shared" ca="1" si="1"/>
        <v>46221</v>
      </c>
      <c r="D40" s="195">
        <f t="shared" si="2"/>
        <v>253.44578989765199</v>
      </c>
      <c r="E40" s="194">
        <f t="shared" si="3"/>
        <v>6557.0220283698072</v>
      </c>
      <c r="F40" s="286">
        <f t="shared" si="0"/>
        <v>6810.4678182674588</v>
      </c>
      <c r="G40" s="286"/>
      <c r="H40" s="3"/>
      <c r="I40" s="3"/>
      <c r="J40" s="162" t="e">
        <f>Лист2!#REF!</f>
        <v>#REF!</v>
      </c>
      <c r="K40" s="162"/>
      <c r="L40" s="122"/>
      <c r="AC40" s="4"/>
    </row>
    <row r="41" spans="1:29" ht="13.5" thickBot="1" x14ac:dyDescent="0.25">
      <c r="A41" s="1">
        <v>22</v>
      </c>
      <c r="B41" s="128">
        <v>11</v>
      </c>
      <c r="C41" s="132">
        <f t="shared" ca="1" si="1"/>
        <v>46252</v>
      </c>
      <c r="D41" s="195">
        <f t="shared" si="2"/>
        <v>270.34006384257964</v>
      </c>
      <c r="E41" s="194">
        <f t="shared" si="3"/>
        <v>6540.1277544248805</v>
      </c>
      <c r="F41" s="286">
        <f t="shared" si="0"/>
        <v>6810.4678182674597</v>
      </c>
      <c r="G41" s="286"/>
      <c r="H41" s="3"/>
      <c r="I41" s="3"/>
      <c r="J41" s="162" t="e">
        <f>Лист2!#REF!</f>
        <v>#REF!</v>
      </c>
      <c r="K41" s="162"/>
      <c r="L41" s="122"/>
      <c r="AC41" s="4"/>
    </row>
    <row r="42" spans="1:29" ht="13.5" thickBot="1" x14ac:dyDescent="0.25">
      <c r="A42" s="1">
        <v>22</v>
      </c>
      <c r="B42" s="128">
        <v>12</v>
      </c>
      <c r="C42" s="132">
        <f t="shared" ca="1" si="1"/>
        <v>46283</v>
      </c>
      <c r="D42" s="195">
        <f t="shared" si="2"/>
        <v>288.36048193155295</v>
      </c>
      <c r="E42" s="194">
        <f t="shared" si="3"/>
        <v>6522.1073363359073</v>
      </c>
      <c r="F42" s="286">
        <f t="shared" si="0"/>
        <v>6810.4678182674606</v>
      </c>
      <c r="G42" s="286"/>
      <c r="H42" s="3"/>
      <c r="I42" s="3"/>
      <c r="J42" s="162" t="e">
        <f>Лист2!#REF!</f>
        <v>#REF!</v>
      </c>
      <c r="K42" s="162"/>
      <c r="L42" s="122"/>
      <c r="AC42" s="4"/>
    </row>
    <row r="43" spans="1:29" ht="13.5" thickBot="1" x14ac:dyDescent="0.25">
      <c r="A43" s="1">
        <v>13</v>
      </c>
      <c r="B43" s="128">
        <v>13</v>
      </c>
      <c r="C43" s="132">
        <f t="shared" ca="1" si="1"/>
        <v>46313</v>
      </c>
      <c r="D43" s="195">
        <f t="shared" si="2"/>
        <v>307.58211105630704</v>
      </c>
      <c r="E43" s="194">
        <f t="shared" si="3"/>
        <v>6502.8857072111523</v>
      </c>
      <c r="F43" s="286">
        <f t="shared" si="0"/>
        <v>6810.4678182674597</v>
      </c>
      <c r="G43" s="286"/>
      <c r="H43" s="3"/>
      <c r="I43" s="3"/>
      <c r="J43" s="162" t="e">
        <f>Лист2!#REF!</f>
        <v>#REF!</v>
      </c>
      <c r="K43" s="162"/>
      <c r="L43" s="122"/>
      <c r="AC43" s="4"/>
    </row>
    <row r="44" spans="1:29" ht="13.5" thickBot="1" x14ac:dyDescent="0.25">
      <c r="A44" s="1">
        <v>14</v>
      </c>
      <c r="B44" s="128">
        <v>14</v>
      </c>
      <c r="C44" s="132">
        <f t="shared" ca="1" si="1"/>
        <v>46344</v>
      </c>
      <c r="D44" s="195">
        <f t="shared" si="2"/>
        <v>328.08502194246859</v>
      </c>
      <c r="E44" s="194">
        <f t="shared" si="3"/>
        <v>6482.3827963249905</v>
      </c>
      <c r="F44" s="286">
        <f t="shared" si="0"/>
        <v>6810.4678182674588</v>
      </c>
      <c r="G44" s="286"/>
      <c r="H44" s="3"/>
      <c r="I44" s="3"/>
      <c r="J44" s="162" t="e">
        <f>Лист2!#REF!</f>
        <v>#REF!</v>
      </c>
      <c r="K44" s="162"/>
      <c r="L44" s="122"/>
      <c r="AC44" s="4"/>
    </row>
    <row r="45" spans="1:29" ht="13.5" thickBot="1" x14ac:dyDescent="0.25">
      <c r="A45" s="1">
        <v>15</v>
      </c>
      <c r="B45" s="128">
        <v>15</v>
      </c>
      <c r="C45" s="132">
        <f t="shared" ca="1" si="1"/>
        <v>46374</v>
      </c>
      <c r="D45" s="195">
        <f t="shared" si="2"/>
        <v>349.95462269678364</v>
      </c>
      <c r="E45" s="194">
        <f t="shared" si="3"/>
        <v>6460.5131955706756</v>
      </c>
      <c r="F45" s="286">
        <f t="shared" si="0"/>
        <v>6810.4678182674597</v>
      </c>
      <c r="G45" s="286"/>
      <c r="H45" s="3"/>
      <c r="I45" s="3"/>
      <c r="J45" s="162" t="e">
        <f>Лист2!#REF!</f>
        <v>#REF!</v>
      </c>
      <c r="K45" s="162"/>
      <c r="L45" s="122"/>
      <c r="AC45" s="4"/>
    </row>
    <row r="46" spans="1:29" ht="13.5" thickBot="1" x14ac:dyDescent="0.25">
      <c r="A46" s="1">
        <v>16</v>
      </c>
      <c r="B46" s="128">
        <v>16</v>
      </c>
      <c r="C46" s="132">
        <f t="shared" ca="1" si="1"/>
        <v>46405</v>
      </c>
      <c r="D46" s="195">
        <f t="shared" si="2"/>
        <v>373.28201458804676</v>
      </c>
      <c r="E46" s="194">
        <f t="shared" si="3"/>
        <v>6437.1858036794129</v>
      </c>
      <c r="F46" s="286">
        <f t="shared" si="0"/>
        <v>6810.4678182674597</v>
      </c>
      <c r="G46" s="286"/>
      <c r="H46" s="3"/>
      <c r="I46" s="3"/>
      <c r="J46" s="162" t="e">
        <f>Лист2!#REF!</f>
        <v>#REF!</v>
      </c>
      <c r="K46" s="162"/>
      <c r="L46" s="122"/>
      <c r="AC46" s="4"/>
    </row>
    <row r="47" spans="1:29" ht="13.5" thickBot="1" x14ac:dyDescent="0.25">
      <c r="A47" s="1">
        <v>22</v>
      </c>
      <c r="B47" s="128">
        <v>17</v>
      </c>
      <c r="C47" s="132">
        <f t="shared" ca="1" si="1"/>
        <v>46436</v>
      </c>
      <c r="D47" s="195">
        <f t="shared" si="2"/>
        <v>398.16437154379497</v>
      </c>
      <c r="E47" s="194">
        <f t="shared" si="3"/>
        <v>6412.3034467236648</v>
      </c>
      <c r="F47" s="286">
        <f t="shared" si="0"/>
        <v>6810.4678182674597</v>
      </c>
      <c r="G47" s="286"/>
      <c r="H47" s="3"/>
      <c r="I47" s="3"/>
      <c r="J47" s="162"/>
      <c r="K47" s="162"/>
      <c r="L47" s="122"/>
      <c r="AC47" s="4"/>
    </row>
    <row r="48" spans="1:29" ht="13.5" thickBot="1" x14ac:dyDescent="0.25">
      <c r="A48" s="1">
        <v>22</v>
      </c>
      <c r="B48" s="128">
        <v>18</v>
      </c>
      <c r="C48" s="132">
        <f t="shared" ca="1" si="1"/>
        <v>46464</v>
      </c>
      <c r="D48" s="195">
        <f t="shared" si="2"/>
        <v>424.70534494361851</v>
      </c>
      <c r="E48" s="194">
        <f t="shared" si="3"/>
        <v>6385.7624733238408</v>
      </c>
      <c r="F48" s="286">
        <f t="shared" si="0"/>
        <v>6810.4678182674597</v>
      </c>
      <c r="G48" s="286"/>
      <c r="H48" s="3"/>
      <c r="I48" s="3"/>
      <c r="J48" s="162"/>
      <c r="L48" s="122"/>
      <c r="AC48" s="4"/>
    </row>
    <row r="49" spans="1:29" ht="13.5" thickBot="1" x14ac:dyDescent="0.25">
      <c r="A49" s="1">
        <v>19</v>
      </c>
      <c r="B49" s="128">
        <v>19</v>
      </c>
      <c r="C49" s="132">
        <f t="shared" ca="1" si="1"/>
        <v>46495</v>
      </c>
      <c r="D49" s="195">
        <f t="shared" si="2"/>
        <v>453.01549539531845</v>
      </c>
      <c r="E49" s="194">
        <f t="shared" si="3"/>
        <v>6357.4523228721409</v>
      </c>
      <c r="F49" s="286">
        <f t="shared" si="0"/>
        <v>6810.4678182674597</v>
      </c>
      <c r="G49" s="286"/>
      <c r="H49" s="3"/>
      <c r="I49" s="3"/>
      <c r="J49" s="162"/>
      <c r="L49" s="122"/>
      <c r="AC49" s="4"/>
    </row>
    <row r="50" spans="1:29" ht="13.5" thickBot="1" x14ac:dyDescent="0.25">
      <c r="A50" s="1">
        <v>20</v>
      </c>
      <c r="B50" s="128">
        <v>20</v>
      </c>
      <c r="C50" s="132">
        <f t="shared" ca="1" si="1"/>
        <v>46525</v>
      </c>
      <c r="D50" s="195">
        <f t="shared" si="2"/>
        <v>483.21275329254479</v>
      </c>
      <c r="E50" s="194">
        <f t="shared" si="3"/>
        <v>6327.2550649749137</v>
      </c>
      <c r="F50" s="286">
        <f t="shared" si="0"/>
        <v>6810.4678182674588</v>
      </c>
      <c r="G50" s="286"/>
      <c r="H50" s="3"/>
      <c r="I50" s="3"/>
      <c r="J50" s="162"/>
      <c r="L50" s="122"/>
      <c r="AC50" s="4"/>
    </row>
    <row r="51" spans="1:29" ht="13.5" thickBot="1" x14ac:dyDescent="0.25">
      <c r="A51" s="60">
        <v>21</v>
      </c>
      <c r="B51" s="128">
        <v>21</v>
      </c>
      <c r="C51" s="132">
        <f t="shared" ca="1" si="1"/>
        <v>46556</v>
      </c>
      <c r="D51" s="195">
        <f t="shared" si="2"/>
        <v>515.42291007243693</v>
      </c>
      <c r="E51" s="194">
        <f t="shared" si="3"/>
        <v>6295.0449081950219</v>
      </c>
      <c r="F51" s="286">
        <f t="shared" si="0"/>
        <v>6810.4678182674588</v>
      </c>
      <c r="G51" s="286"/>
      <c r="H51" s="3"/>
      <c r="I51" s="3"/>
      <c r="J51" s="162"/>
      <c r="L51" s="122"/>
      <c r="AC51" s="4"/>
    </row>
    <row r="52" spans="1:29" ht="13.5" thickBot="1" x14ac:dyDescent="0.25">
      <c r="A52" s="60">
        <v>22</v>
      </c>
      <c r="B52" s="128">
        <v>22</v>
      </c>
      <c r="C52" s="132">
        <f t="shared" ca="1" si="1"/>
        <v>46586</v>
      </c>
      <c r="D52" s="195">
        <f t="shared" si="2"/>
        <v>549.78014221968215</v>
      </c>
      <c r="E52" s="194">
        <f t="shared" si="3"/>
        <v>6260.6876760477771</v>
      </c>
      <c r="F52" s="286">
        <f t="shared" si="0"/>
        <v>6810.4678182674597</v>
      </c>
      <c r="G52" s="286"/>
      <c r="H52" s="3"/>
      <c r="I52" s="3"/>
      <c r="J52" s="4"/>
      <c r="L52" s="122"/>
      <c r="AC52" s="4"/>
    </row>
    <row r="53" spans="1:29" ht="13.5" thickBot="1" x14ac:dyDescent="0.25">
      <c r="A53" s="60">
        <v>25</v>
      </c>
      <c r="B53" s="128">
        <v>23</v>
      </c>
      <c r="C53" s="132">
        <f t="shared" ca="1" si="1"/>
        <v>46617</v>
      </c>
      <c r="D53" s="195">
        <f t="shared" si="2"/>
        <v>586.42757019980922</v>
      </c>
      <c r="E53" s="194">
        <f t="shared" si="3"/>
        <v>6224.0402480676503</v>
      </c>
      <c r="F53" s="286">
        <f t="shared" si="0"/>
        <v>6810.4678182674597</v>
      </c>
      <c r="G53" s="286"/>
      <c r="H53" s="3"/>
      <c r="I53" s="3"/>
      <c r="J53" s="4"/>
      <c r="L53" s="122"/>
      <c r="AC53" s="4"/>
    </row>
    <row r="54" spans="1:29" ht="13.5" thickBot="1" x14ac:dyDescent="0.25">
      <c r="A54" s="60"/>
      <c r="B54" s="128">
        <v>24</v>
      </c>
      <c r="C54" s="132">
        <f t="shared" ca="1" si="1"/>
        <v>46648</v>
      </c>
      <c r="D54" s="195">
        <f t="shared" si="2"/>
        <v>625.51785465004491</v>
      </c>
      <c r="E54" s="194">
        <f t="shared" si="3"/>
        <v>6184.9499636174151</v>
      </c>
      <c r="F54" s="286">
        <f t="shared" si="0"/>
        <v>6810.4678182674597</v>
      </c>
      <c r="G54" s="286"/>
      <c r="H54" s="3"/>
      <c r="I54" s="3"/>
      <c r="J54" s="4"/>
      <c r="L54" s="122"/>
      <c r="AC54" s="4"/>
    </row>
    <row r="55" spans="1:29" ht="13.5" thickBot="1" x14ac:dyDescent="0.25">
      <c r="A55" s="60"/>
      <c r="B55" s="128">
        <v>25</v>
      </c>
      <c r="C55" s="132">
        <f t="shared" ca="1" si="1"/>
        <v>46678</v>
      </c>
      <c r="D55" s="195">
        <f t="shared" si="2"/>
        <v>667.21383231125913</v>
      </c>
      <c r="E55" s="194">
        <f t="shared" si="3"/>
        <v>6143.2539859562003</v>
      </c>
      <c r="F55" s="286">
        <f t="shared" si="0"/>
        <v>6810.4678182674597</v>
      </c>
      <c r="G55" s="286"/>
      <c r="H55" s="3"/>
      <c r="I55" s="3"/>
      <c r="J55" s="4"/>
      <c r="L55" s="122"/>
      <c r="AC55" s="4"/>
    </row>
    <row r="56" spans="1:29" ht="13.5" thickBot="1" x14ac:dyDescent="0.25">
      <c r="A56" s="60"/>
      <c r="B56" s="128">
        <v>26</v>
      </c>
      <c r="C56" s="132">
        <f t="shared" ca="1" si="1"/>
        <v>46709</v>
      </c>
      <c r="D56" s="195">
        <f t="shared" si="2"/>
        <v>711.68919435007376</v>
      </c>
      <c r="E56" s="194">
        <f t="shared" si="3"/>
        <v>6098.7786239173865</v>
      </c>
      <c r="F56" s="286">
        <f t="shared" si="0"/>
        <v>6810.4678182674606</v>
      </c>
      <c r="G56" s="286"/>
      <c r="H56" s="3"/>
      <c r="I56" s="3"/>
      <c r="J56" s="4"/>
      <c r="L56" s="122"/>
      <c r="AC56" s="4"/>
    </row>
    <row r="57" spans="1:29" ht="13.5" thickBot="1" x14ac:dyDescent="0.25">
      <c r="A57" s="60"/>
      <c r="B57" s="128">
        <v>27</v>
      </c>
      <c r="C57" s="132">
        <f t="shared" ca="1" si="1"/>
        <v>46739</v>
      </c>
      <c r="D57" s="195">
        <f t="shared" si="2"/>
        <v>759.12920989679253</v>
      </c>
      <c r="E57" s="194">
        <f t="shared" si="3"/>
        <v>6051.3386083706673</v>
      </c>
      <c r="F57" s="286">
        <f t="shared" si="0"/>
        <v>6810.4678182674597</v>
      </c>
      <c r="G57" s="286"/>
      <c r="H57" s="3"/>
      <c r="I57" s="3"/>
      <c r="J57" s="4"/>
      <c r="L57" s="122"/>
      <c r="AC57" s="4"/>
    </row>
    <row r="58" spans="1:29" ht="13.5" thickBot="1" x14ac:dyDescent="0.25">
      <c r="A58" s="60"/>
      <c r="B58" s="128">
        <v>28</v>
      </c>
      <c r="C58" s="132">
        <f t="shared" ca="1" si="1"/>
        <v>46770</v>
      </c>
      <c r="D58" s="195">
        <f t="shared" si="2"/>
        <v>809.73149781316295</v>
      </c>
      <c r="E58" s="194">
        <f t="shared" si="3"/>
        <v>6000.7363204542962</v>
      </c>
      <c r="F58" s="286">
        <f t="shared" si="0"/>
        <v>6810.4678182674588</v>
      </c>
      <c r="G58" s="286"/>
      <c r="H58" s="3"/>
      <c r="I58" s="3"/>
      <c r="J58" s="4"/>
      <c r="L58" s="122"/>
      <c r="AC58" s="4"/>
    </row>
    <row r="59" spans="1:29" ht="13.5" thickBot="1" x14ac:dyDescent="0.25">
      <c r="A59" s="60"/>
      <c r="B59" s="128">
        <v>29</v>
      </c>
      <c r="C59" s="132">
        <f t="shared" ca="1" si="1"/>
        <v>46801</v>
      </c>
      <c r="D59" s="195">
        <f t="shared" si="2"/>
        <v>863.7068499048919</v>
      </c>
      <c r="E59" s="194">
        <f t="shared" si="3"/>
        <v>5946.7609683625669</v>
      </c>
      <c r="F59" s="286">
        <f t="shared" si="0"/>
        <v>6810.4678182674588</v>
      </c>
      <c r="G59" s="286"/>
      <c r="H59" s="3"/>
      <c r="I59" s="3"/>
      <c r="J59" s="4"/>
      <c r="L59" s="122"/>
      <c r="AC59" s="4"/>
    </row>
    <row r="60" spans="1:29" ht="13.5" thickBot="1" x14ac:dyDescent="0.25">
      <c r="A60" s="60">
        <v>25</v>
      </c>
      <c r="B60" s="128">
        <v>30</v>
      </c>
      <c r="C60" s="132">
        <f t="shared" ca="1" si="1"/>
        <v>46830</v>
      </c>
      <c r="D60" s="195">
        <f t="shared" si="2"/>
        <v>921.28010900813547</v>
      </c>
      <c r="E60" s="194">
        <f t="shared" si="3"/>
        <v>5889.1877092593249</v>
      </c>
      <c r="F60" s="286">
        <f t="shared" si="0"/>
        <v>6810.4678182674606</v>
      </c>
      <c r="G60" s="286"/>
      <c r="H60" s="134"/>
      <c r="I60" s="134"/>
      <c r="J60" s="4"/>
      <c r="L60" s="122"/>
      <c r="AC60" s="4"/>
    </row>
    <row r="61" spans="1:29" ht="13.5" thickBot="1" x14ac:dyDescent="0.25">
      <c r="A61" s="60"/>
      <c r="B61" s="128">
        <v>31</v>
      </c>
      <c r="C61" s="132">
        <f t="shared" ca="1" si="1"/>
        <v>46861</v>
      </c>
      <c r="D61" s="195">
        <f t="shared" si="2"/>
        <v>982.69110560776949</v>
      </c>
      <c r="E61" s="194">
        <f t="shared" si="3"/>
        <v>5827.77671265969</v>
      </c>
      <c r="F61" s="286">
        <f t="shared" si="0"/>
        <v>6810.4678182674597</v>
      </c>
      <c r="G61" s="286"/>
      <c r="H61" s="134"/>
      <c r="I61" s="134"/>
      <c r="J61" s="4"/>
      <c r="L61" s="122"/>
      <c r="AC61" s="4"/>
    </row>
    <row r="62" spans="1:29" ht="13.5" thickBot="1" x14ac:dyDescent="0.25">
      <c r="A62" s="60"/>
      <c r="B62" s="128">
        <v>32</v>
      </c>
      <c r="C62" s="132">
        <f t="shared" ca="1" si="1"/>
        <v>46891</v>
      </c>
      <c r="D62" s="195">
        <f t="shared" si="2"/>
        <v>1048.1956568890741</v>
      </c>
      <c r="E62" s="194">
        <f t="shared" si="3"/>
        <v>5762.272161378386</v>
      </c>
      <c r="F62" s="286">
        <f t="shared" si="0"/>
        <v>6810.4678182674597</v>
      </c>
      <c r="G62" s="286"/>
      <c r="H62" s="134"/>
      <c r="I62" s="134"/>
      <c r="J62" s="4"/>
      <c r="L62" s="122"/>
      <c r="AC62" s="4"/>
    </row>
    <row r="63" spans="1:29" ht="13.5" thickBot="1" x14ac:dyDescent="0.25">
      <c r="A63" s="60"/>
      <c r="B63" s="128">
        <v>33</v>
      </c>
      <c r="C63" s="132">
        <f t="shared" ca="1" si="1"/>
        <v>46922</v>
      </c>
      <c r="D63" s="195">
        <f t="shared" si="2"/>
        <v>1118.0666323845383</v>
      </c>
      <c r="E63" s="194">
        <f t="shared" si="3"/>
        <v>5692.4011858829217</v>
      </c>
      <c r="F63" s="286">
        <f t="shared" ref="F63:F90" si="4">SUM(D63:E63)</f>
        <v>6810.4678182674597</v>
      </c>
      <c r="G63" s="286"/>
      <c r="H63" s="134"/>
      <c r="I63" s="134"/>
      <c r="J63" s="4"/>
      <c r="L63" s="122"/>
      <c r="AC63" s="4"/>
    </row>
    <row r="64" spans="1:29" ht="13.5" thickBot="1" x14ac:dyDescent="0.25">
      <c r="A64" s="60"/>
      <c r="B64" s="128">
        <v>34</v>
      </c>
      <c r="C64" s="132">
        <f t="shared" ca="1" si="1"/>
        <v>46952</v>
      </c>
      <c r="D64" s="195">
        <f t="shared" si="2"/>
        <v>1192.5950906549044</v>
      </c>
      <c r="E64" s="194">
        <f t="shared" si="3"/>
        <v>5617.8727276125546</v>
      </c>
      <c r="F64" s="286">
        <f t="shared" si="4"/>
        <v>6810.4678182674588</v>
      </c>
      <c r="G64" s="286"/>
      <c r="H64" s="134"/>
      <c r="I64" s="134"/>
      <c r="J64" s="4"/>
      <c r="L64" s="122"/>
      <c r="AC64" s="4"/>
    </row>
    <row r="65" spans="1:29" ht="13.5" thickBot="1" x14ac:dyDescent="0.25">
      <c r="A65" s="60"/>
      <c r="B65" s="128">
        <v>35</v>
      </c>
      <c r="C65" s="132">
        <f t="shared" ca="1" si="1"/>
        <v>46983</v>
      </c>
      <c r="D65" s="195">
        <f t="shared" si="2"/>
        <v>1272.0914917394759</v>
      </c>
      <c r="E65" s="194">
        <f t="shared" si="3"/>
        <v>5538.3763265279831</v>
      </c>
      <c r="F65" s="286">
        <f t="shared" si="4"/>
        <v>6810.4678182674588</v>
      </c>
      <c r="G65" s="286"/>
      <c r="H65" s="134"/>
      <c r="I65" s="134"/>
      <c r="J65" s="4"/>
      <c r="L65" s="122"/>
      <c r="AC65" s="4"/>
    </row>
    <row r="66" spans="1:29" ht="13.5" thickBot="1" x14ac:dyDescent="0.25">
      <c r="A66" s="60"/>
      <c r="B66" s="128">
        <v>36</v>
      </c>
      <c r="C66" s="132">
        <f t="shared" ca="1" si="1"/>
        <v>47014</v>
      </c>
      <c r="D66" s="195">
        <f t="shared" si="2"/>
        <v>1356.8869904263433</v>
      </c>
      <c r="E66" s="194">
        <f t="shared" si="3"/>
        <v>5453.5808278411159</v>
      </c>
      <c r="F66" s="286">
        <f t="shared" si="4"/>
        <v>6810.4678182674597</v>
      </c>
      <c r="G66" s="286"/>
      <c r="H66" s="134"/>
      <c r="I66" s="134"/>
      <c r="J66" s="4"/>
      <c r="L66" s="122"/>
      <c r="AC66" s="4"/>
    </row>
    <row r="67" spans="1:29" ht="13.5" thickBot="1" x14ac:dyDescent="0.25">
      <c r="A67" s="60"/>
      <c r="B67" s="128">
        <v>37</v>
      </c>
      <c r="C67" s="132">
        <f t="shared" ca="1" si="1"/>
        <v>47044</v>
      </c>
      <c r="D67" s="195">
        <f t="shared" si="2"/>
        <v>1447.334815729846</v>
      </c>
      <c r="E67" s="194">
        <f t="shared" si="3"/>
        <v>5363.1330025376128</v>
      </c>
      <c r="F67" s="286">
        <f t="shared" si="4"/>
        <v>6810.4678182674588</v>
      </c>
      <c r="G67" s="286"/>
      <c r="H67" s="134"/>
      <c r="I67" s="134"/>
      <c r="J67" s="4"/>
      <c r="L67" s="122"/>
      <c r="AC67" s="4"/>
    </row>
    <row r="68" spans="1:29" ht="13.5" thickBot="1" x14ac:dyDescent="0.25">
      <c r="A68" s="60"/>
      <c r="B68" s="128">
        <v>38</v>
      </c>
      <c r="C68" s="132">
        <f t="shared" ca="1" si="1"/>
        <v>47075</v>
      </c>
      <c r="D68" s="195">
        <f t="shared" si="2"/>
        <v>1543.8117423217041</v>
      </c>
      <c r="E68" s="194">
        <f t="shared" si="3"/>
        <v>5266.6560759457552</v>
      </c>
      <c r="F68" s="286">
        <f t="shared" si="4"/>
        <v>6810.4678182674597</v>
      </c>
      <c r="G68" s="286"/>
      <c r="H68" s="134"/>
      <c r="I68" s="134"/>
      <c r="J68" s="4"/>
      <c r="L68" s="122"/>
      <c r="AC68" s="4"/>
    </row>
    <row r="69" spans="1:29" ht="13.5" thickBot="1" x14ac:dyDescent="0.25">
      <c r="A69" s="60"/>
      <c r="B69" s="128">
        <v>39</v>
      </c>
      <c r="C69" s="132">
        <f t="shared" ca="1" si="1"/>
        <v>47105</v>
      </c>
      <c r="D69" s="195">
        <f t="shared" si="2"/>
        <v>1646.7196600452985</v>
      </c>
      <c r="E69" s="194">
        <f t="shared" si="3"/>
        <v>5163.7481582221599</v>
      </c>
      <c r="F69" s="286">
        <f t="shared" si="4"/>
        <v>6810.4678182674579</v>
      </c>
      <c r="G69" s="286"/>
      <c r="H69" s="134"/>
      <c r="I69" s="134"/>
      <c r="J69" s="4"/>
      <c r="L69" s="122"/>
      <c r="AC69" s="4"/>
    </row>
    <row r="70" spans="1:29" ht="13.5" thickBot="1" x14ac:dyDescent="0.25">
      <c r="A70" s="60"/>
      <c r="B70" s="128">
        <v>40</v>
      </c>
      <c r="C70" s="132">
        <f t="shared" ca="1" si="1"/>
        <v>47136</v>
      </c>
      <c r="D70" s="195">
        <f t="shared" si="2"/>
        <v>1756.4872480511513</v>
      </c>
      <c r="E70" s="194">
        <f t="shared" si="3"/>
        <v>5053.9805702163085</v>
      </c>
      <c r="F70" s="286">
        <f t="shared" si="4"/>
        <v>6810.4678182674597</v>
      </c>
      <c r="G70" s="286"/>
      <c r="H70" s="134"/>
      <c r="I70" s="134"/>
      <c r="J70" s="4"/>
      <c r="L70" s="122"/>
      <c r="AC70" s="4"/>
    </row>
    <row r="71" spans="1:29" ht="13.5" thickBot="1" x14ac:dyDescent="0.25">
      <c r="A71" s="60"/>
      <c r="B71" s="128">
        <v>41</v>
      </c>
      <c r="C71" s="132">
        <f t="shared" ca="1" si="1"/>
        <v>47167</v>
      </c>
      <c r="D71" s="195">
        <f t="shared" si="2"/>
        <v>1873.5717605274945</v>
      </c>
      <c r="E71" s="194">
        <f t="shared" si="3"/>
        <v>4936.8960577399648</v>
      </c>
      <c r="F71" s="286">
        <f t="shared" si="4"/>
        <v>6810.4678182674597</v>
      </c>
      <c r="G71" s="286"/>
      <c r="H71" s="134"/>
      <c r="I71" s="134"/>
      <c r="J71" s="4"/>
      <c r="L71" s="122"/>
      <c r="AC71" s="4"/>
    </row>
    <row r="72" spans="1:29" ht="13.5" thickBot="1" x14ac:dyDescent="0.25">
      <c r="A72" s="60"/>
      <c r="B72" s="128">
        <v>42</v>
      </c>
      <c r="C72" s="132">
        <f t="shared" ca="1" si="1"/>
        <v>47195</v>
      </c>
      <c r="D72" s="195">
        <f t="shared" si="2"/>
        <v>1998.4609314646564</v>
      </c>
      <c r="E72" s="194">
        <f t="shared" si="3"/>
        <v>4812.0068868028029</v>
      </c>
      <c r="F72" s="286">
        <f t="shared" si="4"/>
        <v>6810.4678182674597</v>
      </c>
      <c r="G72" s="286"/>
      <c r="H72" s="134"/>
      <c r="I72" s="134"/>
      <c r="J72" s="4"/>
      <c r="L72" s="122"/>
      <c r="AC72" s="4"/>
    </row>
    <row r="73" spans="1:29" ht="13.5" thickBot="1" x14ac:dyDescent="0.25">
      <c r="A73" s="60"/>
      <c r="B73" s="128">
        <v>43</v>
      </c>
      <c r="C73" s="132">
        <f t="shared" ca="1" si="1"/>
        <v>47226</v>
      </c>
      <c r="D73" s="195">
        <f t="shared" si="2"/>
        <v>2131.6750063878712</v>
      </c>
      <c r="E73" s="194">
        <f t="shared" si="3"/>
        <v>4678.792811879588</v>
      </c>
      <c r="F73" s="286">
        <f t="shared" si="4"/>
        <v>6810.4678182674597</v>
      </c>
      <c r="G73" s="286"/>
      <c r="H73" s="134"/>
      <c r="I73" s="134"/>
      <c r="J73" s="4"/>
      <c r="L73" s="122"/>
      <c r="AC73" s="4"/>
    </row>
    <row r="74" spans="1:29" ht="13.5" thickBot="1" x14ac:dyDescent="0.25">
      <c r="A74" s="60"/>
      <c r="B74" s="128">
        <v>44</v>
      </c>
      <c r="C74" s="132">
        <f t="shared" ca="1" si="1"/>
        <v>47256</v>
      </c>
      <c r="D74" s="195">
        <f t="shared" si="2"/>
        <v>2273.7689095220094</v>
      </c>
      <c r="E74" s="194">
        <f t="shared" si="3"/>
        <v>4536.6989087454504</v>
      </c>
      <c r="F74" s="286">
        <f t="shared" si="4"/>
        <v>6810.4678182674597</v>
      </c>
      <c r="G74" s="286"/>
      <c r="H74" s="134"/>
      <c r="I74" s="134"/>
      <c r="J74" s="4"/>
      <c r="L74" s="122"/>
      <c r="AC74" s="4"/>
    </row>
    <row r="75" spans="1:29" ht="13.5" thickBot="1" x14ac:dyDescent="0.25">
      <c r="A75" s="60"/>
      <c r="B75" s="128">
        <v>45</v>
      </c>
      <c r="C75" s="132">
        <f t="shared" ca="1" si="1"/>
        <v>47287</v>
      </c>
      <c r="D75" s="195">
        <f t="shared" si="2"/>
        <v>2425.3345554158977</v>
      </c>
      <c r="E75" s="194">
        <f t="shared" si="3"/>
        <v>4385.133262851562</v>
      </c>
      <c r="F75" s="286">
        <f t="shared" si="4"/>
        <v>6810.4678182674597</v>
      </c>
      <c r="G75" s="286"/>
      <c r="H75" s="134"/>
      <c r="I75" s="134"/>
      <c r="J75" s="4"/>
      <c r="L75" s="122"/>
      <c r="AC75" s="4"/>
    </row>
    <row r="76" spans="1:29" ht="13.5" thickBot="1" x14ac:dyDescent="0.25">
      <c r="A76" s="60"/>
      <c r="B76" s="128">
        <v>46</v>
      </c>
      <c r="C76" s="132">
        <f t="shared" ca="1" si="1"/>
        <v>47317</v>
      </c>
      <c r="D76" s="195">
        <f t="shared" si="2"/>
        <v>2587.0033146556621</v>
      </c>
      <c r="E76" s="194">
        <f t="shared" si="3"/>
        <v>4223.4645036117972</v>
      </c>
      <c r="F76" s="286">
        <f t="shared" si="4"/>
        <v>6810.4678182674597</v>
      </c>
      <c r="G76" s="286"/>
      <c r="H76" s="134"/>
      <c r="I76" s="134"/>
      <c r="J76" s="4"/>
      <c r="L76" s="122"/>
      <c r="AC76" s="4"/>
    </row>
    <row r="77" spans="1:29" ht="13.5" thickBot="1" x14ac:dyDescent="0.25">
      <c r="A77" s="60"/>
      <c r="B77" s="128">
        <v>47</v>
      </c>
      <c r="C77" s="132">
        <f t="shared" ca="1" si="1"/>
        <v>47348</v>
      </c>
      <c r="D77" s="195">
        <f t="shared" si="2"/>
        <v>2759.4486439384177</v>
      </c>
      <c r="E77" s="194">
        <f t="shared" si="3"/>
        <v>4051.019174329042</v>
      </c>
      <c r="F77" s="286">
        <f t="shared" si="4"/>
        <v>6810.4678182674597</v>
      </c>
      <c r="G77" s="286"/>
      <c r="H77" s="134"/>
      <c r="I77" s="134"/>
      <c r="J77" s="4"/>
      <c r="L77" s="122"/>
      <c r="AC77" s="4"/>
    </row>
    <row r="78" spans="1:29" ht="13.5" thickBot="1" x14ac:dyDescent="0.25">
      <c r="A78" s="60"/>
      <c r="B78" s="128">
        <v>48</v>
      </c>
      <c r="C78" s="132">
        <f t="shared" ca="1" si="1"/>
        <v>47379</v>
      </c>
      <c r="D78" s="195">
        <f t="shared" si="2"/>
        <v>2943.3888914622794</v>
      </c>
      <c r="E78" s="194">
        <f t="shared" si="3"/>
        <v>3867.0789268051803</v>
      </c>
      <c r="F78" s="286">
        <f t="shared" si="4"/>
        <v>6810.4678182674597</v>
      </c>
      <c r="G78" s="286"/>
      <c r="H78" s="134"/>
      <c r="I78" s="134"/>
      <c r="J78" s="4"/>
      <c r="L78" s="122"/>
      <c r="AC78" s="4"/>
    </row>
    <row r="79" spans="1:29" ht="13.5" thickBot="1" x14ac:dyDescent="0.25">
      <c r="A79" s="60"/>
      <c r="B79" s="128">
        <v>49</v>
      </c>
      <c r="C79" s="132">
        <f t="shared" ca="1" si="1"/>
        <v>47409</v>
      </c>
      <c r="D79" s="195">
        <f t="shared" si="2"/>
        <v>3139.5902893190027</v>
      </c>
      <c r="E79" s="194">
        <f t="shared" si="3"/>
        <v>3670.8775289484565</v>
      </c>
      <c r="F79" s="286">
        <f t="shared" si="4"/>
        <v>6810.4678182674597</v>
      </c>
      <c r="G79" s="286"/>
      <c r="H79" s="134"/>
      <c r="I79" s="134"/>
      <c r="J79" s="4"/>
      <c r="L79" s="122"/>
      <c r="AC79" s="4"/>
    </row>
    <row r="80" spans="1:29" ht="13.5" thickBot="1" x14ac:dyDescent="0.25">
      <c r="A80" s="60"/>
      <c r="B80" s="128">
        <v>50</v>
      </c>
      <c r="C80" s="132">
        <f t="shared" ca="1" si="1"/>
        <v>47440</v>
      </c>
      <c r="D80" s="195">
        <f t="shared" si="2"/>
        <v>3348.870145354525</v>
      </c>
      <c r="E80" s="194">
        <f t="shared" si="3"/>
        <v>3461.5976729129343</v>
      </c>
      <c r="F80" s="286">
        <f t="shared" si="4"/>
        <v>6810.4678182674597</v>
      </c>
      <c r="G80" s="286"/>
      <c r="H80" s="134"/>
      <c r="I80" s="134"/>
      <c r="J80" s="4"/>
      <c r="L80" s="122"/>
      <c r="AC80" s="4"/>
    </row>
    <row r="81" spans="1:29" ht="13.5" thickBot="1" x14ac:dyDescent="0.25">
      <c r="A81" s="60"/>
      <c r="B81" s="128">
        <v>51</v>
      </c>
      <c r="C81" s="132">
        <f t="shared" ca="1" si="1"/>
        <v>47470</v>
      </c>
      <c r="D81" s="195">
        <f t="shared" si="2"/>
        <v>3572.1002477936154</v>
      </c>
      <c r="E81" s="194">
        <f t="shared" si="3"/>
        <v>3238.3675704738434</v>
      </c>
      <c r="F81" s="286">
        <f t="shared" si="4"/>
        <v>6810.4678182674588</v>
      </c>
      <c r="G81" s="286"/>
      <c r="H81" s="134"/>
      <c r="I81" s="134"/>
      <c r="J81" s="4"/>
      <c r="L81" s="122"/>
      <c r="AC81" s="4"/>
    </row>
    <row r="82" spans="1:29" ht="13.5" thickBot="1" x14ac:dyDescent="0.25">
      <c r="A82" s="60"/>
      <c r="B82" s="128">
        <v>52</v>
      </c>
      <c r="C82" s="132">
        <f t="shared" ca="1" si="1"/>
        <v>47501</v>
      </c>
      <c r="D82" s="195">
        <f t="shared" si="2"/>
        <v>3810.2104968111244</v>
      </c>
      <c r="E82" s="194">
        <f t="shared" si="3"/>
        <v>3000.2573214563345</v>
      </c>
      <c r="F82" s="286">
        <f t="shared" si="4"/>
        <v>6810.4678182674588</v>
      </c>
      <c r="G82" s="286"/>
      <c r="H82" s="134"/>
      <c r="I82" s="134"/>
      <c r="J82" s="4"/>
      <c r="L82" s="122"/>
      <c r="AC82" s="4"/>
    </row>
    <row r="83" spans="1:29" ht="13.5" thickBot="1" x14ac:dyDescent="0.25">
      <c r="A83" s="60"/>
      <c r="B83" s="128">
        <v>53</v>
      </c>
      <c r="C83" s="132">
        <f t="shared" ca="1" si="1"/>
        <v>47532</v>
      </c>
      <c r="D83" s="195">
        <f t="shared" si="2"/>
        <v>4064.1927781777267</v>
      </c>
      <c r="E83" s="194">
        <f t="shared" si="3"/>
        <v>2746.275040089733</v>
      </c>
      <c r="F83" s="286">
        <f t="shared" si="4"/>
        <v>6810.4678182674597</v>
      </c>
      <c r="G83" s="286"/>
      <c r="H83" s="134"/>
      <c r="I83" s="134"/>
      <c r="J83" s="4"/>
      <c r="L83" s="122"/>
      <c r="AC83" s="4"/>
    </row>
    <row r="84" spans="1:29" ht="13.5" thickBot="1" x14ac:dyDescent="0.25">
      <c r="A84" s="60"/>
      <c r="B84" s="128">
        <v>54</v>
      </c>
      <c r="C84" s="132">
        <f t="shared" ca="1" si="1"/>
        <v>47560</v>
      </c>
      <c r="D84" s="195">
        <f t="shared" si="2"/>
        <v>4335.1050951164234</v>
      </c>
      <c r="E84" s="194">
        <f t="shared" si="3"/>
        <v>2475.3627231510359</v>
      </c>
      <c r="F84" s="286">
        <f t="shared" si="4"/>
        <v>6810.4678182674597</v>
      </c>
      <c r="G84" s="286"/>
      <c r="H84" s="134"/>
      <c r="I84" s="134"/>
      <c r="J84" s="4"/>
      <c r="L84" s="122"/>
      <c r="AC84" s="4"/>
    </row>
    <row r="85" spans="1:29" ht="13.5" thickBot="1" x14ac:dyDescent="0.25">
      <c r="A85" s="60"/>
      <c r="B85" s="128">
        <v>55</v>
      </c>
      <c r="C85" s="132">
        <f t="shared" ca="1" si="1"/>
        <v>47591</v>
      </c>
      <c r="D85" s="195">
        <f t="shared" si="2"/>
        <v>4624.0759755817253</v>
      </c>
      <c r="E85" s="194">
        <f t="shared" si="3"/>
        <v>2186.3918426857335</v>
      </c>
      <c r="F85" s="286">
        <f t="shared" si="4"/>
        <v>6810.4678182674588</v>
      </c>
      <c r="G85" s="286"/>
      <c r="H85" s="134"/>
      <c r="I85" s="134"/>
      <c r="J85" s="4"/>
      <c r="L85" s="122"/>
      <c r="AC85" s="4"/>
    </row>
    <row r="86" spans="1:29" ht="13.5" thickBot="1" x14ac:dyDescent="0.25">
      <c r="A86" s="60"/>
      <c r="B86" s="128">
        <v>56</v>
      </c>
      <c r="C86" s="132">
        <f t="shared" ca="1" si="1"/>
        <v>47621</v>
      </c>
      <c r="D86" s="195">
        <f t="shared" si="2"/>
        <v>4932.3091733207111</v>
      </c>
      <c r="E86" s="194">
        <f t="shared" si="3"/>
        <v>1878.1586449467486</v>
      </c>
      <c r="F86" s="286">
        <f t="shared" si="4"/>
        <v>6810.4678182674597</v>
      </c>
      <c r="G86" s="286"/>
      <c r="H86" s="134"/>
      <c r="I86" s="134"/>
      <c r="J86" s="4"/>
      <c r="L86" s="122"/>
      <c r="AC86" s="4"/>
    </row>
    <row r="87" spans="1:29" ht="13.5" thickBot="1" x14ac:dyDescent="0.25">
      <c r="A87" s="60"/>
      <c r="B87" s="128">
        <v>57</v>
      </c>
      <c r="C87" s="132">
        <f t="shared" ca="1" si="1"/>
        <v>47652</v>
      </c>
      <c r="D87" s="195">
        <f t="shared" si="2"/>
        <v>5261.0886822989805</v>
      </c>
      <c r="E87" s="194">
        <f t="shared" si="3"/>
        <v>1549.3791359684785</v>
      </c>
      <c r="F87" s="286">
        <f t="shared" si="4"/>
        <v>6810.4678182674588</v>
      </c>
      <c r="G87" s="286"/>
      <c r="H87" s="134"/>
      <c r="I87" s="134"/>
      <c r="J87" s="4"/>
      <c r="L87" s="122"/>
      <c r="AC87" s="4"/>
    </row>
    <row r="88" spans="1:29" ht="13.5" thickBot="1" x14ac:dyDescent="0.25">
      <c r="A88" s="60"/>
      <c r="B88" s="128">
        <v>58</v>
      </c>
      <c r="C88" s="132">
        <f t="shared" ca="1" si="1"/>
        <v>47682</v>
      </c>
      <c r="D88" s="195">
        <f t="shared" si="2"/>
        <v>5611.7840853798934</v>
      </c>
      <c r="E88" s="194">
        <f t="shared" si="3"/>
        <v>1198.6837328875656</v>
      </c>
      <c r="F88" s="286">
        <f t="shared" si="4"/>
        <v>6810.4678182674588</v>
      </c>
      <c r="G88" s="286"/>
      <c r="H88" s="134"/>
      <c r="I88" s="134"/>
      <c r="J88" s="4"/>
      <c r="L88" s="122"/>
      <c r="AC88" s="4"/>
    </row>
    <row r="89" spans="1:29" ht="13.5" thickBot="1" x14ac:dyDescent="0.25">
      <c r="A89" s="60"/>
      <c r="B89" s="128">
        <v>59</v>
      </c>
      <c r="C89" s="132">
        <f t="shared" ca="1" si="1"/>
        <v>47713</v>
      </c>
      <c r="D89" s="195">
        <f t="shared" si="2"/>
        <v>5985.8562595378417</v>
      </c>
      <c r="E89" s="194">
        <f t="shared" si="3"/>
        <v>824.61155872961774</v>
      </c>
      <c r="F89" s="286">
        <f t="shared" si="4"/>
        <v>6810.4678182674597</v>
      </c>
      <c r="G89" s="286"/>
      <c r="H89" s="134"/>
      <c r="I89" s="134"/>
      <c r="J89" s="4"/>
      <c r="L89" s="122"/>
      <c r="AC89" s="4"/>
    </row>
    <row r="90" spans="1:29" ht="13.5" thickBot="1" x14ac:dyDescent="0.25">
      <c r="A90" s="60"/>
      <c r="B90" s="191">
        <v>60</v>
      </c>
      <c r="C90" s="192">
        <f t="shared" ca="1" si="1"/>
        <v>47744</v>
      </c>
      <c r="D90" s="195">
        <f t="shared" si="2"/>
        <v>6384.8634613715358</v>
      </c>
      <c r="E90" s="194">
        <f t="shared" si="3"/>
        <v>425.60435689592424</v>
      </c>
      <c r="F90" s="290">
        <f t="shared" si="4"/>
        <v>6810.4678182674597</v>
      </c>
      <c r="G90" s="290"/>
      <c r="H90" s="134"/>
      <c r="I90" s="134"/>
      <c r="J90" s="4"/>
      <c r="L90" s="122"/>
      <c r="AC90" s="4"/>
    </row>
    <row r="91" spans="1:29" ht="16.5" thickBot="1" x14ac:dyDescent="0.25">
      <c r="A91" s="60"/>
      <c r="B91" s="269" t="s">
        <v>3</v>
      </c>
      <c r="C91" s="287"/>
      <c r="D91" s="202">
        <f>SUM(D31:D90)</f>
        <v>100000</v>
      </c>
      <c r="E91" s="202">
        <f>SUM(E31:E90)</f>
        <v>309415.94543228619</v>
      </c>
      <c r="F91" s="288">
        <f>SUM(F31:G90)</f>
        <v>409415.94543228648</v>
      </c>
      <c r="G91" s="289"/>
      <c r="H91" s="134"/>
      <c r="I91" s="134"/>
      <c r="J91" s="4"/>
      <c r="L91" s="122"/>
      <c r="AC91" s="4"/>
    </row>
    <row r="92" spans="1:29" x14ac:dyDescent="0.2">
      <c r="A92" s="60"/>
      <c r="B92" s="2"/>
      <c r="C92" s="2"/>
      <c r="D92" s="2"/>
      <c r="E92" s="2"/>
      <c r="F92" s="2"/>
      <c r="G92" s="42"/>
      <c r="I92" s="134"/>
      <c r="J92" s="134"/>
    </row>
    <row r="93" spans="1:29" x14ac:dyDescent="0.2">
      <c r="A93" s="60"/>
      <c r="B93" s="2"/>
      <c r="C93" s="33"/>
      <c r="D93" s="34"/>
      <c r="E93" s="273" t="s">
        <v>5</v>
      </c>
      <c r="F93" s="273"/>
      <c r="G93" s="273"/>
      <c r="I93" s="134"/>
      <c r="J93" s="134"/>
    </row>
    <row r="94" spans="1:29" x14ac:dyDescent="0.2">
      <c r="A94" s="60"/>
      <c r="B94" s="2"/>
      <c r="C94" s="35"/>
      <c r="D94" s="2"/>
      <c r="E94" s="36" t="s">
        <v>6</v>
      </c>
      <c r="F94" s="37"/>
      <c r="G94" s="48"/>
      <c r="I94" s="134"/>
      <c r="J94" s="134"/>
    </row>
    <row r="95" spans="1:29" x14ac:dyDescent="0.2">
      <c r="A95" s="60"/>
      <c r="B95" s="61"/>
      <c r="C95" s="61"/>
      <c r="D95" s="61"/>
      <c r="E95" s="61"/>
      <c r="F95" s="61"/>
      <c r="G95" s="135"/>
      <c r="H95" s="62"/>
      <c r="I95" s="134"/>
      <c r="J95" s="134"/>
    </row>
    <row r="96" spans="1:29" x14ac:dyDescent="0.2">
      <c r="A96" s="60"/>
      <c r="B96" s="61"/>
      <c r="C96" s="61"/>
      <c r="D96" s="61"/>
      <c r="E96" s="61"/>
      <c r="F96" s="61"/>
      <c r="G96" s="135"/>
      <c r="H96" s="62"/>
      <c r="I96" s="63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</sheetData>
  <sheetProtection algorithmName="SHA-512" hashValue="XmIBVmg0oJHlpdXp5aotQAHRgre8dZlx2vZ3focnJexOY/1YMsuzAPEgEIqoKP085lHrh+1Nj/CFPxjiSBfIlA==" saltValue="NavtfrYpRXYPpnDZgpD2Zw==" spinCount="100000" sheet="1" objects="1" scenarios="1" selectLockedCells="1"/>
  <dataConsolidate/>
  <mergeCells count="88">
    <mergeCell ref="B91:C91"/>
    <mergeCell ref="F91:G91"/>
    <mergeCell ref="E93:G93"/>
    <mergeCell ref="F85:G85"/>
    <mergeCell ref="F86:G86"/>
    <mergeCell ref="F87:G87"/>
    <mergeCell ref="F88:G88"/>
    <mergeCell ref="F89:G89"/>
    <mergeCell ref="F90:G90"/>
    <mergeCell ref="F84:G84"/>
    <mergeCell ref="F73:G73"/>
    <mergeCell ref="F74:G74"/>
    <mergeCell ref="F75:G75"/>
    <mergeCell ref="F76:G76"/>
    <mergeCell ref="F77:G77"/>
    <mergeCell ref="F78:G78"/>
    <mergeCell ref="F79:G79"/>
    <mergeCell ref="F80:G80"/>
    <mergeCell ref="F81:G81"/>
    <mergeCell ref="F82:G82"/>
    <mergeCell ref="F83:G83"/>
    <mergeCell ref="F72:G72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70:G70"/>
    <mergeCell ref="F71:G71"/>
    <mergeCell ref="F60:G60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48:G48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36:G36"/>
    <mergeCell ref="B24:E24"/>
    <mergeCell ref="G24:H24"/>
    <mergeCell ref="B26:E26"/>
    <mergeCell ref="F29:G29"/>
    <mergeCell ref="F30:G30"/>
    <mergeCell ref="F31:G31"/>
    <mergeCell ref="F32:G32"/>
    <mergeCell ref="F33:G33"/>
    <mergeCell ref="F34:G34"/>
    <mergeCell ref="F35:G35"/>
    <mergeCell ref="B28:G28"/>
    <mergeCell ref="B17:E17"/>
    <mergeCell ref="G17:H17"/>
    <mergeCell ref="B20:E20"/>
    <mergeCell ref="G20:H20"/>
    <mergeCell ref="B22:E22"/>
    <mergeCell ref="G22:H22"/>
    <mergeCell ref="B9:E9"/>
    <mergeCell ref="G9:H9"/>
    <mergeCell ref="B13:E13"/>
    <mergeCell ref="G13:H13"/>
    <mergeCell ref="B15:E15"/>
    <mergeCell ref="G15:H15"/>
    <mergeCell ref="B11:E11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600-000000000000}">
      <formula1>$K$18:$K$21</formula1>
    </dataValidation>
  </dataValidations>
  <pageMargins left="0.39370078740157483" right="0.35433070866141736" top="0.59055118110236227" bottom="0.59055118110236227" header="0.51181102362204722" footer="0.51181102362204722"/>
  <pageSetup paperSize="9" scale="63" firstPageNumber="2" orientation="portrait" verticalDpi="300" r:id="rId1"/>
  <headerFooter alignWithMargins="0"/>
  <rowBreaks count="1" manualBreakCount="1">
    <brk id="91" max="9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0">
    <tabColor rgb="FF00B05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A28" sqref="A28:XFD28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29" ht="12.75" customHeight="1" x14ac:dyDescent="0.2">
      <c r="A2" s="2"/>
      <c r="B2" s="61"/>
      <c r="C2" s="61"/>
      <c r="D2" s="61"/>
      <c r="E2" s="139" t="e">
        <f>VLOOKUP('Від 200 000 до 500 000'!H2,Лист2!A:O,14,FALSE)</f>
        <v>#N/A</v>
      </c>
      <c r="F2" s="126" t="e">
        <f>VLOOKUP(H$2,Лист2!$A:$H,2,0)</f>
        <v>#N/A</v>
      </c>
      <c r="G2" s="185">
        <f ca="1">TODAY()</f>
        <v>45918</v>
      </c>
      <c r="H2" s="243" t="s">
        <v>70</v>
      </c>
      <c r="I2" s="244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</row>
    <row r="4" spans="1:29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29" ht="21" customHeight="1" thickBot="1" x14ac:dyDescent="0.25">
      <c r="A5" s="1"/>
      <c r="B5" s="277" t="s">
        <v>82</v>
      </c>
      <c r="C5" s="278"/>
      <c r="D5" s="278"/>
      <c r="E5" s="279"/>
      <c r="F5" s="205">
        <v>500000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2" t="s">
        <v>81</v>
      </c>
      <c r="C7" s="253"/>
      <c r="D7" s="253"/>
      <c r="E7" s="254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 t="e">
        <f>VLOOKUP(H$2,Лист2!$A:$H,4,0)</f>
        <v>#N/A</v>
      </c>
      <c r="G9" s="280"/>
      <c r="H9" s="280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2" t="str">
        <f>Назви!A7</f>
        <v>Разовий страховий тариф, %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 t="e">
        <f>VLOOKUP(H$2,Лист2!$A:$H,5,0)</f>
        <v>#N/A</v>
      </c>
      <c r="G11" s="280"/>
      <c r="H11" s="280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2" t="str">
        <f>Назви!A9</f>
        <v xml:space="preserve">Щомісячна плата за обслуговування кредитної заборгованості, % </v>
      </c>
      <c r="C13" s="253">
        <f>Назви!B9</f>
        <v>0</v>
      </c>
      <c r="D13" s="253">
        <f>Назви!C9</f>
        <v>0</v>
      </c>
      <c r="E13" s="254">
        <f>Назви!D9</f>
        <v>0</v>
      </c>
      <c r="F13" s="38" t="e">
        <f>VLOOKUP(H$2,Лист2!$A:$H,6,0)</f>
        <v>#N/A</v>
      </c>
      <c r="G13" s="280"/>
      <c r="H13" s="280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2" t="str">
        <f>Назви!A11</f>
        <v>Термін кредитування (міс.)</v>
      </c>
      <c r="C15" s="253">
        <f>Назви!B11</f>
        <v>0</v>
      </c>
      <c r="D15" s="253">
        <f>Назви!C11</f>
        <v>0</v>
      </c>
      <c r="E15" s="254">
        <f>Назви!D11</f>
        <v>0</v>
      </c>
      <c r="F15" s="64" t="e">
        <f>VLOOKUP(H$2,Лист2!$A:$H,3,0)</f>
        <v>#N/A</v>
      </c>
      <c r="G15" s="280"/>
      <c r="H15" s="280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55" t="str">
        <f>Назви!A14</f>
        <v>Орієнтовний платіж, грн.</v>
      </c>
      <c r="C18" s="256">
        <f>Назви!B14</f>
        <v>0</v>
      </c>
      <c r="D18" s="256">
        <f>Назви!C14</f>
        <v>0</v>
      </c>
      <c r="E18" s="257">
        <f>Назви!D14</f>
        <v>0</v>
      </c>
      <c r="F18" s="13" t="e">
        <f>PMT(F9/12,F15,-E17)+F13*E17</f>
        <v>#N/A</v>
      </c>
      <c r="G18" s="283"/>
      <c r="H18" s="284"/>
      <c r="I18" s="133"/>
      <c r="J18" s="52"/>
      <c r="K18" s="162" t="str">
        <f>Лист2!A5</f>
        <v xml:space="preserve">Цільовий, 36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 xml:space="preserve">Цільовий, 24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Назви!A16</f>
        <v>Орієнтовні загальні витрати за кредитом, грн.</v>
      </c>
      <c r="C20" s="256">
        <f>Назви!B16</f>
        <v>0</v>
      </c>
      <c r="D20" s="256">
        <f>Назви!C16</f>
        <v>0</v>
      </c>
      <c r="E20" s="257">
        <f>Назви!D16</f>
        <v>0</v>
      </c>
      <c r="F20" s="13" t="e">
        <f>G89-E3</f>
        <v>#N/A</v>
      </c>
      <c r="G20" s="285"/>
      <c r="H20" s="285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 xml:space="preserve">Цільовий, 12 міс. 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Назви!A18</f>
        <v>Орієнтовна загальна вартість кредиту, грн.</v>
      </c>
      <c r="C22" s="256">
        <f>Назви!B18</f>
        <v>0</v>
      </c>
      <c r="D22" s="256">
        <f>Назви!C18</f>
        <v>0</v>
      </c>
      <c r="E22" s="257">
        <f>Назви!D18</f>
        <v>0</v>
      </c>
      <c r="F22" s="13" t="e">
        <f>E3+F20</f>
        <v>#N/A</v>
      </c>
      <c r="G22" s="280"/>
      <c r="H22" s="280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Назви!A20</f>
        <v>Реальна річна процентна ставка, %</v>
      </c>
      <c r="C24" s="256"/>
      <c r="D24" s="256"/>
      <c r="E24" s="257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2" t="str">
        <f>Назви!A29</f>
        <v>Орієнтовний порядок повернення кредиту</v>
      </c>
      <c r="C26" s="263"/>
      <c r="D26" s="263"/>
      <c r="E26" s="263"/>
      <c r="F26" s="263"/>
      <c r="G26" s="263"/>
      <c r="H26" s="264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5" t="str">
        <f>Назви!F30</f>
        <v>Сума платежу за розрахунковий період, грн.</v>
      </c>
      <c r="H27" s="266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45918</v>
      </c>
      <c r="D28" s="113"/>
      <c r="E28" s="114"/>
      <c r="F28" s="113"/>
      <c r="G28" s="281" t="e">
        <f>-1*E3</f>
        <v>#N/A</v>
      </c>
      <c r="H28" s="282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45948</v>
      </c>
      <c r="D29" s="193" t="e">
        <f>IF(B29&lt;$F$15,$F$18-E29-F29,IF(B29=$F$15,$E$17-SUM($D$28:D28),0))</f>
        <v>#N/A</v>
      </c>
      <c r="E29" s="194" t="e">
        <f>IF(B29&lt;=$F$15,(E$17*(VLOOKUP($H$2,Лист2!$A:$O,12,0)-(B29-1)*VLOOKUP($H$2,Лист2!$A:$O,13,0))),0)</f>
        <v>#N/A</v>
      </c>
      <c r="F29" s="194" t="e">
        <f>ROUND(E$17*F$9*30/365,2)</f>
        <v>#N/A</v>
      </c>
      <c r="G29" s="286" t="e">
        <f>SUM(D29:F29)</f>
        <v>#N/A</v>
      </c>
      <c r="H29" s="286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45979</v>
      </c>
      <c r="D30" s="195" t="e">
        <f>IF(B30&lt;$F$15,$F$18-E30-F30,IF(B30=$F$15,$E$17-SUM($D$28:D29),0))</f>
        <v>#N/A</v>
      </c>
      <c r="E30" s="196" t="e">
        <f>IF(B30&lt;=$F$15,(E$17*(VLOOKUP($H$2,Лист2!$A:$O,12,0)-(B30-1)*VLOOKUP($H$2,Лист2!$A:$O,13,0))),0)</f>
        <v>#N/A</v>
      </c>
      <c r="F30" s="197" t="e">
        <f>ROUND((E$17-SUM(D$29:D29))*F$9*30/365,2)</f>
        <v>#N/A</v>
      </c>
      <c r="G30" s="286" t="e">
        <f t="shared" ref="G30:G88" si="1">SUM(D30:F30)</f>
        <v>#N/A</v>
      </c>
      <c r="H30" s="286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46009</v>
      </c>
      <c r="D31" s="195" t="e">
        <f>IF(B31&lt;$F$15,$F$18-E31-F31,IF(B31=$F$15,$E$17-SUM($D$28:D30),0))</f>
        <v>#N/A</v>
      </c>
      <c r="E31" s="196" t="e">
        <f>IF(B31&lt;=$F$15,(E$17*(VLOOKUP($H$2,Лист2!$A:$O,12,0)-(B31-1)*VLOOKUP($H$2,Лист2!$A:$O,13,0))),0)</f>
        <v>#N/A</v>
      </c>
      <c r="F31" s="197" t="e">
        <f>ROUND((E$17-SUM(D$29:D30))*F$9*30/365,2)</f>
        <v>#N/A</v>
      </c>
      <c r="G31" s="286" t="e">
        <f t="shared" si="1"/>
        <v>#N/A</v>
      </c>
      <c r="H31" s="286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46040</v>
      </c>
      <c r="D32" s="195" t="e">
        <f>IF(B32&lt;$F$15,$F$18-E32-F32,IF(B32=$F$15,$E$17-SUM($D$28:D31),0))</f>
        <v>#N/A</v>
      </c>
      <c r="E32" s="196" t="e">
        <f>IF(B32&lt;=$F$15,(E$17*(VLOOKUP($H$2,Лист2!$A:$O,12,0)-(B32-1)*VLOOKUP($H$2,Лист2!$A:$O,13,0))),0)</f>
        <v>#N/A</v>
      </c>
      <c r="F32" s="197" t="e">
        <f>ROUND((E$17-SUM(D$29:D31))*F$9*30/365,2)</f>
        <v>#N/A</v>
      </c>
      <c r="G32" s="286" t="e">
        <f t="shared" si="1"/>
        <v>#N/A</v>
      </c>
      <c r="H32" s="286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46071</v>
      </c>
      <c r="D33" s="195" t="e">
        <f>IF(B33&lt;$F$15,$F$18-E33-F33,IF(B33=$F$15,$E$17-SUM($D$28:D32),0))</f>
        <v>#N/A</v>
      </c>
      <c r="E33" s="196" t="e">
        <f>IF(B33&lt;=$F$15,(E$17*(VLOOKUP($H$2,Лист2!$A:$O,12,0)-(B33-1)*VLOOKUP($H$2,Лист2!$A:$O,13,0))),0)</f>
        <v>#N/A</v>
      </c>
      <c r="F33" s="197" t="e">
        <f>ROUND((E$17-SUM(D$29:D32))*F$9*30/365,2)</f>
        <v>#N/A</v>
      </c>
      <c r="G33" s="286" t="e">
        <f t="shared" si="1"/>
        <v>#N/A</v>
      </c>
      <c r="H33" s="286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46099</v>
      </c>
      <c r="D34" s="195" t="e">
        <f>IF(B34&lt;$F$15,$F$18-E34-F34,IF(B34=$F$15,$E$17-SUM($D$28:D33),0))</f>
        <v>#N/A</v>
      </c>
      <c r="E34" s="196" t="e">
        <f>IF(B34&lt;=$F$15,(E$17*(VLOOKUP($H$2,Лист2!$A:$O,12,0)-(B34-1)*VLOOKUP($H$2,Лист2!$A:$O,13,0))),0)</f>
        <v>#N/A</v>
      </c>
      <c r="F34" s="197" t="e">
        <f>ROUND((E$17-SUM(D$29:D33))*F$9*30/365,2)</f>
        <v>#N/A</v>
      </c>
      <c r="G34" s="286" t="e">
        <f t="shared" si="1"/>
        <v>#N/A</v>
      </c>
      <c r="H34" s="286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46130</v>
      </c>
      <c r="D35" s="195" t="e">
        <f>IF(B35&lt;$F$15,$F$18-E35-F35,IF(B35=$F$15,$E$17-SUM($D$28:D34),0))</f>
        <v>#N/A</v>
      </c>
      <c r="E35" s="196" t="e">
        <f>IF(B35&lt;=$F$15,(E$17*(VLOOKUP($H$2,Лист2!$A:$O,12,0)-(B35-1)*VLOOKUP($H$2,Лист2!$A:$O,13,0))),0)</f>
        <v>#N/A</v>
      </c>
      <c r="F35" s="197" t="e">
        <f>ROUND((E$17-SUM(D$29:D34))*F$9*30/365,2)</f>
        <v>#N/A</v>
      </c>
      <c r="G35" s="286" t="e">
        <f t="shared" si="1"/>
        <v>#N/A</v>
      </c>
      <c r="H35" s="286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46160</v>
      </c>
      <c r="D36" s="195" t="e">
        <f>IF(B36&lt;$F$15,$F$18-E36-F36,IF(B36=$F$15,$E$17-SUM($D$28:D35),0))</f>
        <v>#N/A</v>
      </c>
      <c r="E36" s="196" t="e">
        <f>IF(B36&lt;=$F$15,(E$17*(VLOOKUP($H$2,Лист2!$A:$O,12,0)-(B36-1)*VLOOKUP($H$2,Лист2!$A:$O,13,0))),0)</f>
        <v>#N/A</v>
      </c>
      <c r="F36" s="197" t="e">
        <f>ROUND((E$17-SUM(D$29:D35))*F$9*30/365,2)</f>
        <v>#N/A</v>
      </c>
      <c r="G36" s="286" t="e">
        <f t="shared" si="1"/>
        <v>#N/A</v>
      </c>
      <c r="H36" s="286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46191</v>
      </c>
      <c r="D37" s="195" t="e">
        <f>IF(B37&lt;$F$15,$F$18-E37-F37,IF(B37=$F$15,$E$17-SUM($D$28:D36),0))</f>
        <v>#N/A</v>
      </c>
      <c r="E37" s="196" t="e">
        <f>IF(B37&lt;=$F$15,(E$17*(VLOOKUP($H$2,Лист2!$A:$O,12,0)-(B37-1)*VLOOKUP($H$2,Лист2!$A:$O,13,0))),0)</f>
        <v>#N/A</v>
      </c>
      <c r="F37" s="197" t="e">
        <f>ROUND((E$17-SUM(D$29:D36))*F$9*30/365,2)</f>
        <v>#N/A</v>
      </c>
      <c r="G37" s="286" t="e">
        <f t="shared" si="1"/>
        <v>#N/A</v>
      </c>
      <c r="H37" s="286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46221</v>
      </c>
      <c r="D38" s="195" t="e">
        <f>IF(B38&lt;$F$15,$F$18-E38-F38,IF(B38=$F$15,$E$17-SUM($D$28:D37),0))</f>
        <v>#N/A</v>
      </c>
      <c r="E38" s="196" t="e">
        <f>IF(B38&lt;=$F$15,(E$17*(VLOOKUP($H$2,Лист2!$A:$O,12,0)-(B38-1)*VLOOKUP($H$2,Лист2!$A:$O,13,0))),0)</f>
        <v>#N/A</v>
      </c>
      <c r="F38" s="197" t="e">
        <f>ROUND((E$17-SUM(D$29:D37))*F$9*30/365,2)</f>
        <v>#N/A</v>
      </c>
      <c r="G38" s="286" t="e">
        <f t="shared" si="1"/>
        <v>#N/A</v>
      </c>
      <c r="H38" s="286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46252</v>
      </c>
      <c r="D39" s="195" t="e">
        <f>IF(B39&lt;$F$15,$F$18-E39-F39,IF(B39=$F$15,$E$17-SUM($D$28:D38),0))</f>
        <v>#N/A</v>
      </c>
      <c r="E39" s="196" t="e">
        <f>IF(B39&lt;=$F$15,(E$17*(VLOOKUP($H$2,Лист2!$A:$O,12,0)-(B39-1)*VLOOKUP($H$2,Лист2!$A:$O,13,0))),0)</f>
        <v>#N/A</v>
      </c>
      <c r="F39" s="197" t="e">
        <f>ROUND((E$17-SUM(D$29:D38))*F$9*30/365,2)</f>
        <v>#N/A</v>
      </c>
      <c r="G39" s="286" t="e">
        <f t="shared" si="1"/>
        <v>#N/A</v>
      </c>
      <c r="H39" s="286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46283</v>
      </c>
      <c r="D40" s="195" t="e">
        <f>IF(B40&lt;$F$15,$F$18-E40-F40,IF(B40=$F$15,$E$17-SUM($D$28:D39),0))</f>
        <v>#N/A</v>
      </c>
      <c r="E40" s="196" t="e">
        <f>IF(B40&lt;=$F$15,(E$17*(VLOOKUP($H$2,Лист2!$A:$O,12,0)-(B40-1)*VLOOKUP($H$2,Лист2!$A:$O,13,0))),0)</f>
        <v>#N/A</v>
      </c>
      <c r="F40" s="197" t="e">
        <f>ROUND((E$17-SUM(D$29:D39))*F$9*30/365,2)</f>
        <v>#N/A</v>
      </c>
      <c r="G40" s="286" t="e">
        <f t="shared" si="1"/>
        <v>#N/A</v>
      </c>
      <c r="H40" s="286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46313</v>
      </c>
      <c r="D41" s="195" t="e">
        <f>IF(B41&lt;$F$15,$F$18-E41-F41,IF(B41=$F$15,$E$17-SUM($D$28:D40),0))</f>
        <v>#N/A</v>
      </c>
      <c r="E41" s="196" t="e">
        <f>IF(B41&lt;=$F$15,(E$17*(VLOOKUP($H$2,Лист2!$A:$O,12,0)-(B41-1)*VLOOKUP($H$2,Лист2!$A:$O,13,0))),0)</f>
        <v>#N/A</v>
      </c>
      <c r="F41" s="197" t="e">
        <f>ROUND((E$17-SUM(D$29:D40))*F$9*30/365,2)</f>
        <v>#N/A</v>
      </c>
      <c r="G41" s="286" t="e">
        <f t="shared" si="1"/>
        <v>#N/A</v>
      </c>
      <c r="H41" s="286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46344</v>
      </c>
      <c r="D42" s="195" t="e">
        <f>IF(B42&lt;$F$15,$F$18-E42-F42,IF(B42=$F$15,$E$17-SUM($D$28:D41),0))</f>
        <v>#N/A</v>
      </c>
      <c r="E42" s="196" t="e">
        <f>IF(B42&lt;=$F$15,(E$17*(VLOOKUP($H$2,Лист2!$A:$O,12,0)-(B42-1)*VLOOKUP($H$2,Лист2!$A:$O,13,0))),0)</f>
        <v>#N/A</v>
      </c>
      <c r="F42" s="197" t="e">
        <f>ROUND((E$17-SUM(D$29:D41))*F$9*30/365,2)</f>
        <v>#N/A</v>
      </c>
      <c r="G42" s="286" t="e">
        <f t="shared" si="1"/>
        <v>#N/A</v>
      </c>
      <c r="H42" s="286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46374</v>
      </c>
      <c r="D43" s="195" t="e">
        <f>IF(B43&lt;$F$15,$F$18-E43-F43,IF(B43=$F$15,$E$17-SUM($D$28:D42),0))</f>
        <v>#N/A</v>
      </c>
      <c r="E43" s="196" t="e">
        <f>IF(B43&lt;=$F$15,(E$17*(VLOOKUP($H$2,Лист2!$A:$O,12,0)-(B43-1)*VLOOKUP($H$2,Лист2!$A:$O,13,0))),0)</f>
        <v>#N/A</v>
      </c>
      <c r="F43" s="197" t="e">
        <f>ROUND((E$17-SUM(D$29:D42))*F$9*30/365,2)</f>
        <v>#N/A</v>
      </c>
      <c r="G43" s="286" t="e">
        <f t="shared" si="1"/>
        <v>#N/A</v>
      </c>
      <c r="H43" s="286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46405</v>
      </c>
      <c r="D44" s="195" t="e">
        <f>IF(B44&lt;$F$15,$F$18-E44-F44,IF(B44=$F$15,$E$17-SUM($D$28:D43),0))</f>
        <v>#N/A</v>
      </c>
      <c r="E44" s="196" t="e">
        <f>IF(B44&lt;=$F$15,(E$17*(VLOOKUP($H$2,Лист2!$A:$O,12,0)-(B44-1)*VLOOKUP($H$2,Лист2!$A:$O,13,0))),0)</f>
        <v>#N/A</v>
      </c>
      <c r="F44" s="197" t="e">
        <f>ROUND((E$17-SUM(D$29:D43))*F$9*30/365,2)</f>
        <v>#N/A</v>
      </c>
      <c r="G44" s="286" t="e">
        <f t="shared" si="1"/>
        <v>#N/A</v>
      </c>
      <c r="H44" s="286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46436</v>
      </c>
      <c r="D45" s="195" t="e">
        <f>IF(B45&lt;$F$15,$F$18-E45-F45,IF(B45=$F$15,$E$17-SUM($D$28:D44),0))</f>
        <v>#N/A</v>
      </c>
      <c r="E45" s="196" t="e">
        <f>IF(B45&lt;=$F$15,(E$17*(VLOOKUP($H$2,Лист2!$A:$O,12,0)-(B45-1)*VLOOKUP($H$2,Лист2!$A:$O,13,0))),0)</f>
        <v>#N/A</v>
      </c>
      <c r="F45" s="197" t="e">
        <f>ROUND((E$17-SUM(D$29:D44))*F$9*30/365,2)</f>
        <v>#N/A</v>
      </c>
      <c r="G45" s="286" t="e">
        <f t="shared" si="1"/>
        <v>#N/A</v>
      </c>
      <c r="H45" s="286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46464</v>
      </c>
      <c r="D46" s="195" t="e">
        <f>IF(B46&lt;$F$15,$F$18-E46-F46,IF(B46=$F$15,$E$17-SUM($D$28:D45),0))</f>
        <v>#N/A</v>
      </c>
      <c r="E46" s="196" t="e">
        <f>IF(B46&lt;=$F$15,(E$17*(VLOOKUP($H$2,Лист2!$A:$O,12,0)-(B46-1)*VLOOKUP($H$2,Лист2!$A:$O,13,0))),0)</f>
        <v>#N/A</v>
      </c>
      <c r="F46" s="197" t="e">
        <f>ROUND((E$17-SUM(D$29:D45))*F$9*30/365,2)</f>
        <v>#N/A</v>
      </c>
      <c r="G46" s="286" t="e">
        <f t="shared" si="1"/>
        <v>#N/A</v>
      </c>
      <c r="H46" s="286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46495</v>
      </c>
      <c r="D47" s="195" t="e">
        <f>IF(B47&lt;$F$15,$F$18-E47-F47,IF(B47=$F$15,$E$17-SUM($D$28:D46),0))</f>
        <v>#N/A</v>
      </c>
      <c r="E47" s="196" t="e">
        <f>IF(B47&lt;=$F$15,(E$17*(VLOOKUP($H$2,Лист2!$A:$O,12,0)-(B47-1)*VLOOKUP($H$2,Лист2!$A:$O,13,0))),0)</f>
        <v>#N/A</v>
      </c>
      <c r="F47" s="197" t="e">
        <f>ROUND((E$17-SUM(D$29:D46))*F$9*30/365,2)</f>
        <v>#N/A</v>
      </c>
      <c r="G47" s="286" t="e">
        <f t="shared" si="1"/>
        <v>#N/A</v>
      </c>
      <c r="H47" s="286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46525</v>
      </c>
      <c r="D48" s="195" t="e">
        <f>IF(B48&lt;$F$15,$F$18-E48-F48,IF(B48=$F$15,$E$17-SUM($D$28:D47),0))</f>
        <v>#N/A</v>
      </c>
      <c r="E48" s="196" t="e">
        <f>IF(B48&lt;=$F$15,(E$17*(VLOOKUP($H$2,Лист2!$A:$O,12,0)-(B48-1)*VLOOKUP($H$2,Лист2!$A:$O,13,0))),0)</f>
        <v>#N/A</v>
      </c>
      <c r="F48" s="197" t="e">
        <f>ROUND((E$17-SUM(D$29:D47))*F$9*30/365,2)</f>
        <v>#N/A</v>
      </c>
      <c r="G48" s="286" t="e">
        <f t="shared" si="1"/>
        <v>#N/A</v>
      </c>
      <c r="H48" s="286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46556</v>
      </c>
      <c r="D49" s="195" t="e">
        <f>IF(B49&lt;$F$15,$F$18-E49-F49,IF(B49=$F$15,$E$17-SUM($D$28:D48),0))</f>
        <v>#N/A</v>
      </c>
      <c r="E49" s="196" t="e">
        <f>IF(B49&lt;=$F$15,(E$17*(VLOOKUP($H$2,Лист2!$A:$O,12,0)-(B49-1)*VLOOKUP($H$2,Лист2!$A:$O,13,0))),0)</f>
        <v>#N/A</v>
      </c>
      <c r="F49" s="197" t="e">
        <f>ROUND((E$17-SUM(D$29:D48))*F$9*30/365,2)</f>
        <v>#N/A</v>
      </c>
      <c r="G49" s="286" t="e">
        <f t="shared" si="1"/>
        <v>#N/A</v>
      </c>
      <c r="H49" s="286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46586</v>
      </c>
      <c r="D50" s="195" t="e">
        <f>IF(B50&lt;$F$15,$F$18-E50-F50,IF(B50=$F$15,$E$17-SUM($D$28:D49),0))</f>
        <v>#N/A</v>
      </c>
      <c r="E50" s="196" t="e">
        <f>IF(B50&lt;=$F$15,(E$17*(VLOOKUP($H$2,Лист2!$A:$O,12,0)-(B50-1)*VLOOKUP($H$2,Лист2!$A:$O,13,0))),0)</f>
        <v>#N/A</v>
      </c>
      <c r="F50" s="197" t="e">
        <f>ROUND((E$17-SUM(D$29:D49))*F$9*30/365,2)</f>
        <v>#N/A</v>
      </c>
      <c r="G50" s="286" t="e">
        <f t="shared" si="1"/>
        <v>#N/A</v>
      </c>
      <c r="H50" s="286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46617</v>
      </c>
      <c r="D51" s="195" t="e">
        <f>IF(B51&lt;$F$15,$F$18-E51-F51,IF(B51=$F$15,$E$17-SUM($D$28:D50),0))</f>
        <v>#N/A</v>
      </c>
      <c r="E51" s="196" t="e">
        <f>IF(B51&lt;=$F$15,(E$17*(VLOOKUP($H$2,Лист2!$A:$O,12,0)-(B51-1)*VLOOKUP($H$2,Лист2!$A:$O,13,0))),0)</f>
        <v>#N/A</v>
      </c>
      <c r="F51" s="197" t="e">
        <f>ROUND((E$17-SUM(D$29:D50))*F$9*30/365,2)</f>
        <v>#N/A</v>
      </c>
      <c r="G51" s="286" t="e">
        <f t="shared" si="1"/>
        <v>#N/A</v>
      </c>
      <c r="H51" s="286"/>
      <c r="I51" s="3"/>
    </row>
    <row r="52" spans="1:11" x14ac:dyDescent="0.2">
      <c r="A52" s="60"/>
      <c r="B52" s="128">
        <v>24</v>
      </c>
      <c r="C52" s="132">
        <f t="shared" ca="1" si="0"/>
        <v>46648</v>
      </c>
      <c r="D52" s="195" t="e">
        <f>IF(B52&lt;$F$15,$F$18-E52-F52,IF(B52=$F$15,$E$17-SUM($D$28:D51),0))</f>
        <v>#N/A</v>
      </c>
      <c r="E52" s="196" t="e">
        <f>IF(B52&lt;=$F$15,(E$17*(VLOOKUP($H$2,Лист2!$A:$O,12,0)-(B52-1)*VLOOKUP($H$2,Лист2!$A:$O,13,0))),0)</f>
        <v>#N/A</v>
      </c>
      <c r="F52" s="197" t="e">
        <f>ROUND((E$17-SUM(D$29:D51))*F$9*30/365,2)</f>
        <v>#N/A</v>
      </c>
      <c r="G52" s="286" t="e">
        <f t="shared" si="1"/>
        <v>#N/A</v>
      </c>
      <c r="H52" s="286"/>
      <c r="I52" s="3"/>
    </row>
    <row r="53" spans="1:11" x14ac:dyDescent="0.2">
      <c r="A53" s="60"/>
      <c r="B53" s="128">
        <v>25</v>
      </c>
      <c r="C53" s="132">
        <f t="shared" ca="1" si="0"/>
        <v>46678</v>
      </c>
      <c r="D53" s="195" t="e">
        <f>IF(B53&lt;$F$15,$F$18-E53-F53,IF(B53=$F$15,$E$17-SUM($D$28:D52),0))</f>
        <v>#N/A</v>
      </c>
      <c r="E53" s="196" t="e">
        <f>IF(B53&lt;=$F$15,(E$17*(VLOOKUP($H$2,Лист2!$A:$O,12,0)-(B53-1)*VLOOKUP($H$2,Лист2!$A:$O,13,0))),0)</f>
        <v>#N/A</v>
      </c>
      <c r="F53" s="197" t="e">
        <f>ROUND((E$17-SUM(D$29:D52))*F$9*30/365,2)</f>
        <v>#N/A</v>
      </c>
      <c r="G53" s="286" t="e">
        <f t="shared" si="1"/>
        <v>#N/A</v>
      </c>
      <c r="H53" s="286"/>
      <c r="I53" s="3"/>
    </row>
    <row r="54" spans="1:11" x14ac:dyDescent="0.2">
      <c r="A54" s="60"/>
      <c r="B54" s="128">
        <v>26</v>
      </c>
      <c r="C54" s="132">
        <f t="shared" ca="1" si="0"/>
        <v>46709</v>
      </c>
      <c r="D54" s="195" t="e">
        <f>IF(B54&lt;$F$15,$F$18-E54-F54,IF(B54=$F$15,$E$17-SUM($D$28:D53),0))</f>
        <v>#N/A</v>
      </c>
      <c r="E54" s="196" t="e">
        <f>IF(B54&lt;=$F$15,(E$17*(VLOOKUP($H$2,Лист2!$A:$O,12,0)-(B54-1)*VLOOKUP($H$2,Лист2!$A:$O,13,0))),0)</f>
        <v>#N/A</v>
      </c>
      <c r="F54" s="197" t="e">
        <f>ROUND((E$17-SUM(D$29:D53))*F$9*30/365,2)</f>
        <v>#N/A</v>
      </c>
      <c r="G54" s="286" t="e">
        <f t="shared" si="1"/>
        <v>#N/A</v>
      </c>
      <c r="H54" s="286"/>
      <c r="I54" s="3"/>
    </row>
    <row r="55" spans="1:11" x14ac:dyDescent="0.2">
      <c r="A55" s="60"/>
      <c r="B55" s="128">
        <v>27</v>
      </c>
      <c r="C55" s="132">
        <f t="shared" ca="1" si="0"/>
        <v>46739</v>
      </c>
      <c r="D55" s="195" t="e">
        <f>IF(B55&lt;$F$15,$F$18-E55-F55,IF(B55=$F$15,$E$17-SUM($D$28:D54),0))</f>
        <v>#N/A</v>
      </c>
      <c r="E55" s="196" t="e">
        <f>IF(B55&lt;=$F$15,(E$17*(VLOOKUP($H$2,Лист2!$A:$O,12,0)-(B55-1)*VLOOKUP($H$2,Лист2!$A:$O,13,0))),0)</f>
        <v>#N/A</v>
      </c>
      <c r="F55" s="197" t="e">
        <f>ROUND((E$17-SUM(D$29:D54))*F$9*30/365,2)</f>
        <v>#N/A</v>
      </c>
      <c r="G55" s="286" t="e">
        <f t="shared" si="1"/>
        <v>#N/A</v>
      </c>
      <c r="H55" s="286"/>
      <c r="I55" s="3"/>
    </row>
    <row r="56" spans="1:11" x14ac:dyDescent="0.2">
      <c r="A56" s="60"/>
      <c r="B56" s="128">
        <v>28</v>
      </c>
      <c r="C56" s="132">
        <f t="shared" ca="1" si="0"/>
        <v>46770</v>
      </c>
      <c r="D56" s="195" t="e">
        <f>IF(B56&lt;$F$15,$F$18-E56-F56,IF(B56=$F$15,$E$17-SUM($D$28:D55),0))</f>
        <v>#N/A</v>
      </c>
      <c r="E56" s="196" t="e">
        <f>IF(B56&lt;=$F$15,(E$17*(VLOOKUP($H$2,Лист2!$A:$O,12,0)-(B56-1)*VLOOKUP($H$2,Лист2!$A:$O,13,0))),0)</f>
        <v>#N/A</v>
      </c>
      <c r="F56" s="197" t="e">
        <f>ROUND((E$17-SUM(D$29:D55))*F$9*30/365,2)</f>
        <v>#N/A</v>
      </c>
      <c r="G56" s="286" t="e">
        <f t="shared" si="1"/>
        <v>#N/A</v>
      </c>
      <c r="H56" s="286"/>
      <c r="I56" s="3"/>
    </row>
    <row r="57" spans="1:11" x14ac:dyDescent="0.2">
      <c r="A57" s="60"/>
      <c r="B57" s="128">
        <v>29</v>
      </c>
      <c r="C57" s="132">
        <f t="shared" ca="1" si="0"/>
        <v>46801</v>
      </c>
      <c r="D57" s="195" t="e">
        <f>IF(B57&lt;$F$15,$F$18-E57-F57,IF(B57=$F$15,$E$17-SUM($D$28:D56),0))</f>
        <v>#N/A</v>
      </c>
      <c r="E57" s="196" t="e">
        <f>IF(B57&lt;=$F$15,(E$17*(VLOOKUP($H$2,Лист2!$A:$O,12,0)-(B57-1)*VLOOKUP($H$2,Лист2!$A:$O,13,0))),0)</f>
        <v>#N/A</v>
      </c>
      <c r="F57" s="197" t="e">
        <f>ROUND((E$17-SUM(D$29:D56))*F$9*30/365,2)</f>
        <v>#N/A</v>
      </c>
      <c r="G57" s="286" t="e">
        <f t="shared" si="1"/>
        <v>#N/A</v>
      </c>
      <c r="H57" s="286"/>
      <c r="I57" s="3"/>
    </row>
    <row r="58" spans="1:11" x14ac:dyDescent="0.2">
      <c r="A58" s="60">
        <v>25</v>
      </c>
      <c r="B58" s="128">
        <v>30</v>
      </c>
      <c r="C58" s="132">
        <f t="shared" ca="1" si="0"/>
        <v>46830</v>
      </c>
      <c r="D58" s="195" t="e">
        <f>IF(B58&lt;$F$15,$F$18-E58-F58,IF(B58=$F$15,$E$17-SUM($D$28:D57),0))</f>
        <v>#N/A</v>
      </c>
      <c r="E58" s="196" t="e">
        <f>IF(B58&lt;=$F$15,(E$17*(VLOOKUP($H$2,Лист2!$A:$O,12,0)-(B58-1)*VLOOKUP($H$2,Лист2!$A:$O,13,0))),0)</f>
        <v>#N/A</v>
      </c>
      <c r="F58" s="197" t="e">
        <f>ROUND((E$17-SUM(D$29:D57))*F$9*30/365,2)</f>
        <v>#N/A</v>
      </c>
      <c r="G58" s="286" t="e">
        <f t="shared" si="1"/>
        <v>#N/A</v>
      </c>
      <c r="H58" s="286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46861</v>
      </c>
      <c r="D59" s="195" t="e">
        <f>IF(B59&lt;$F$15,$F$18-E59-F59,IF(B59=$F$15,$E$17-SUM($D$28:D58),0))</f>
        <v>#N/A</v>
      </c>
      <c r="E59" s="196" t="e">
        <f>IF(B59&lt;=$F$15,(E$17*(VLOOKUP($H$2,Лист2!$A:$O,12,0)-(B59-1)*VLOOKUP($H$2,Лист2!$A:$O,13,0))),0)</f>
        <v>#N/A</v>
      </c>
      <c r="F59" s="197" t="e">
        <f>ROUND((E$17-SUM(D$29:D58))*F$9*30/365,2)</f>
        <v>#N/A</v>
      </c>
      <c r="G59" s="286" t="e">
        <f t="shared" si="1"/>
        <v>#N/A</v>
      </c>
      <c r="H59" s="286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46891</v>
      </c>
      <c r="D60" s="195" t="e">
        <f>IF(B60&lt;$F$15,$F$18-E60-F60,IF(B60=$F$15,$E$17-SUM($D$28:D59),0))</f>
        <v>#N/A</v>
      </c>
      <c r="E60" s="196" t="e">
        <f>IF(B60&lt;=$F$15,(E$17*(VLOOKUP($H$2,Лист2!$A:$O,12,0)-(B60-1)*VLOOKUP($H$2,Лист2!$A:$O,13,0))),0)</f>
        <v>#N/A</v>
      </c>
      <c r="F60" s="197" t="e">
        <f>ROUND((E$17-SUM(D$29:D59))*F$9*30/365,2)</f>
        <v>#N/A</v>
      </c>
      <c r="G60" s="286" t="e">
        <f t="shared" si="1"/>
        <v>#N/A</v>
      </c>
      <c r="H60" s="286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46922</v>
      </c>
      <c r="D61" s="195" t="e">
        <f>IF(B61&lt;$F$15,$F$18-E61-F61,IF(B61=$F$15,$E$17-SUM($D$28:D60),0))</f>
        <v>#N/A</v>
      </c>
      <c r="E61" s="196" t="e">
        <f>IF(B61&lt;=$F$15,(E$17*(VLOOKUP($H$2,Лист2!$A:$O,12,0)-(B61-1)*VLOOKUP($H$2,Лист2!$A:$O,13,0))),0)</f>
        <v>#N/A</v>
      </c>
      <c r="F61" s="197" t="e">
        <f>ROUND((E$17-SUM(D$29:D60))*F$9*30/365,2)</f>
        <v>#N/A</v>
      </c>
      <c r="G61" s="286" t="e">
        <f t="shared" si="1"/>
        <v>#N/A</v>
      </c>
      <c r="H61" s="286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46952</v>
      </c>
      <c r="D62" s="195" t="e">
        <f>IF(B62&lt;$F$15,$F$18-E62-F62,IF(B62=$F$15,$E$17-SUM($D$28:D61),0))</f>
        <v>#N/A</v>
      </c>
      <c r="E62" s="196" t="e">
        <f>IF(B62&lt;=$F$15,(E$17*(VLOOKUP($H$2,Лист2!$A:$O,12,0)-(B62-1)*VLOOKUP($H$2,Лист2!$A:$O,13,0))),0)</f>
        <v>#N/A</v>
      </c>
      <c r="F62" s="197" t="e">
        <f>ROUND((E$17-SUM(D$29:D61))*F$9*30/365,2)</f>
        <v>#N/A</v>
      </c>
      <c r="G62" s="286" t="e">
        <f t="shared" si="1"/>
        <v>#N/A</v>
      </c>
      <c r="H62" s="286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46983</v>
      </c>
      <c r="D63" s="195" t="e">
        <f>IF(B63&lt;$F$15,$F$18-E63-F63,IF(B63=$F$15,$E$17-SUM($D$28:D62),0))</f>
        <v>#N/A</v>
      </c>
      <c r="E63" s="196" t="e">
        <f>IF(B63&lt;=$F$15,(E$17*(VLOOKUP($H$2,Лист2!$A:$O,12,0)-(B63-1)*VLOOKUP($H$2,Лист2!$A:$O,13,0))),0)</f>
        <v>#N/A</v>
      </c>
      <c r="F63" s="197" t="e">
        <f>ROUND((E$17-SUM(D$29:D62))*F$9*30/365,2)</f>
        <v>#N/A</v>
      </c>
      <c r="G63" s="286" t="e">
        <f t="shared" si="1"/>
        <v>#N/A</v>
      </c>
      <c r="H63" s="286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47014</v>
      </c>
      <c r="D64" s="195" t="e">
        <f>IF(B64&lt;$F$15,$F$18-E64-F64,IF(B64=$F$15,$E$17-SUM($D$28:D63),0))</f>
        <v>#N/A</v>
      </c>
      <c r="E64" s="196" t="e">
        <f>IF(B64&lt;=$F$15,(E$17*(VLOOKUP($H$2,Лист2!$A:$O,12,0)-(B64-1)*VLOOKUP($H$2,Лист2!$A:$O,13,0))),0)</f>
        <v>#N/A</v>
      </c>
      <c r="F64" s="197" t="e">
        <f>ROUND((E$17-SUM(D$29:D63))*F$9*30/365,2)</f>
        <v>#N/A</v>
      </c>
      <c r="G64" s="286" t="e">
        <f t="shared" si="1"/>
        <v>#N/A</v>
      </c>
      <c r="H64" s="286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47044</v>
      </c>
      <c r="D65" s="195" t="e">
        <f>IF(B65&lt;$F$15,$F$18-E65-F65,IF(B65=$F$15,$E$17-SUM($D$28:D64),0))</f>
        <v>#N/A</v>
      </c>
      <c r="E65" s="196" t="e">
        <f>IF(B65&lt;=$F$15,(E$17*(VLOOKUP($H$2,Лист2!$A:$O,12,0)-(B65-1)*VLOOKUP($H$2,Лист2!$A:$O,13,0))),0)</f>
        <v>#N/A</v>
      </c>
      <c r="F65" s="197" t="e">
        <f>ROUND((E$17-SUM(D$29:D64))*F$9*30/365,2)</f>
        <v>#N/A</v>
      </c>
      <c r="G65" s="286" t="e">
        <f t="shared" si="1"/>
        <v>#N/A</v>
      </c>
      <c r="H65" s="286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47075</v>
      </c>
      <c r="D66" s="195" t="e">
        <f>IF(B66&lt;$F$15,$F$18-E66-F66,IF(B66=$F$15,$E$17-SUM($D$28:D65),0))</f>
        <v>#N/A</v>
      </c>
      <c r="E66" s="196" t="e">
        <f>IF(B66&lt;=$F$15,(E$17*(VLOOKUP($H$2,Лист2!$A:$O,12,0)-(B66-1)*VLOOKUP($H$2,Лист2!$A:$O,13,0))),0)</f>
        <v>#N/A</v>
      </c>
      <c r="F66" s="197" t="e">
        <f>ROUND((E$17-SUM(D$29:D65))*F$9*30/365,2)</f>
        <v>#N/A</v>
      </c>
      <c r="G66" s="286" t="e">
        <f t="shared" si="1"/>
        <v>#N/A</v>
      </c>
      <c r="H66" s="286"/>
      <c r="I66" s="134"/>
      <c r="J66" s="134"/>
    </row>
    <row r="67" spans="1:10" x14ac:dyDescent="0.2">
      <c r="A67" s="60"/>
      <c r="B67" s="128">
        <v>39</v>
      </c>
      <c r="C67" s="132">
        <f t="shared" ca="1" si="0"/>
        <v>47105</v>
      </c>
      <c r="D67" s="195" t="e">
        <f>IF(B67&lt;$F$15,$F$18-E67-F67,IF(B67=$F$15,$E$17-SUM($D$28:D66),0))</f>
        <v>#N/A</v>
      </c>
      <c r="E67" s="196" t="e">
        <f>IF(B67&lt;=$F$15,(E$17*(VLOOKUP($H$2,Лист2!$A:$O,12,0)-(B67-1)*VLOOKUP($H$2,Лист2!$A:$O,13,0))),0)</f>
        <v>#N/A</v>
      </c>
      <c r="F67" s="197" t="e">
        <f>ROUND((E$17-SUM(D$29:D66))*F$9*30/365,2)</f>
        <v>#N/A</v>
      </c>
      <c r="G67" s="286" t="e">
        <f t="shared" si="1"/>
        <v>#N/A</v>
      </c>
      <c r="H67" s="286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47136</v>
      </c>
      <c r="D68" s="195" t="e">
        <f>IF(B68&lt;$F$15,$F$18-E68-F68,IF(B68=$F$15,$E$17-SUM($D$28:D67),0))</f>
        <v>#N/A</v>
      </c>
      <c r="E68" s="196" t="e">
        <f>IF(B68&lt;=$F$15,(E$17*(VLOOKUP($H$2,Лист2!$A:$O,12,0)-(B68-1)*VLOOKUP($H$2,Лист2!$A:$O,13,0))),0)</f>
        <v>#N/A</v>
      </c>
      <c r="F68" s="197" t="e">
        <f>ROUND((E$17-SUM(D$29:D67))*F$9*30/365,2)</f>
        <v>#N/A</v>
      </c>
      <c r="G68" s="286" t="e">
        <f t="shared" si="1"/>
        <v>#N/A</v>
      </c>
      <c r="H68" s="286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47167</v>
      </c>
      <c r="D69" s="195" t="e">
        <f>IF(B69&lt;$F$15,$F$18-E69-F69,IF(B69=$F$15,$E$17-SUM($D$28:D68),0))</f>
        <v>#N/A</v>
      </c>
      <c r="E69" s="196" t="e">
        <f>IF(B69&lt;=$F$15,(E$17*(VLOOKUP($H$2,Лист2!$A:$O,12,0)-(B69-1)*VLOOKUP($H$2,Лист2!$A:$O,13,0))),0)</f>
        <v>#N/A</v>
      </c>
      <c r="F69" s="197" t="e">
        <f>ROUND((E$17-SUM(D$29:D68))*F$9*30/365,2)</f>
        <v>#N/A</v>
      </c>
      <c r="G69" s="286" t="e">
        <f t="shared" si="1"/>
        <v>#N/A</v>
      </c>
      <c r="H69" s="286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47195</v>
      </c>
      <c r="D70" s="195" t="e">
        <f>IF(B70&lt;$F$15,$F$18-E70-F70,IF(B70=$F$15,$E$17-SUM($D$28:D69),0))</f>
        <v>#N/A</v>
      </c>
      <c r="E70" s="196" t="e">
        <f>IF(B70&lt;=$F$15,(E$17*(VLOOKUP($H$2,Лист2!$A:$O,12,0)-(B70-1)*VLOOKUP($H$2,Лист2!$A:$O,13,0))),0)</f>
        <v>#N/A</v>
      </c>
      <c r="F70" s="197" t="e">
        <f>ROUND((E$17-SUM(D$29:D69))*F$9*30/365,2)</f>
        <v>#N/A</v>
      </c>
      <c r="G70" s="286" t="e">
        <f t="shared" si="1"/>
        <v>#N/A</v>
      </c>
      <c r="H70" s="286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47226</v>
      </c>
      <c r="D71" s="195" t="e">
        <f>IF(B71&lt;$F$15,$F$18-E71-F71,IF(B71=$F$15,$E$17-SUM($D$28:D70),0))</f>
        <v>#N/A</v>
      </c>
      <c r="E71" s="196" t="e">
        <f>IF(B71&lt;=$F$15,(E$17*(VLOOKUP($H$2,Лист2!$A:$O,12,0)-(B71-1)*VLOOKUP($H$2,Лист2!$A:$O,13,0))),0)</f>
        <v>#N/A</v>
      </c>
      <c r="F71" s="197" t="e">
        <f>ROUND((E$17-SUM(D$29:D70))*F$9*30/365,2)</f>
        <v>#N/A</v>
      </c>
      <c r="G71" s="286" t="e">
        <f t="shared" si="1"/>
        <v>#N/A</v>
      </c>
      <c r="H71" s="286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47256</v>
      </c>
      <c r="D72" s="195" t="e">
        <f>IF(B72&lt;$F$15,$F$18-E72-F72,IF(B72=$F$15,$E$17-SUM($D$28:D71),0))</f>
        <v>#N/A</v>
      </c>
      <c r="E72" s="196" t="e">
        <f>IF(B72&lt;=$F$15,(E$17*(VLOOKUP($H$2,Лист2!$A:$O,12,0)-(B72-1)*VLOOKUP($H$2,Лист2!$A:$O,13,0))),0)</f>
        <v>#N/A</v>
      </c>
      <c r="F72" s="197" t="e">
        <f>ROUND((E$17-SUM(D$29:D71))*F$9*30/365,2)</f>
        <v>#N/A</v>
      </c>
      <c r="G72" s="286" t="e">
        <f t="shared" si="1"/>
        <v>#N/A</v>
      </c>
      <c r="H72" s="286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47287</v>
      </c>
      <c r="D73" s="195" t="e">
        <f>IF(B73&lt;$F$15,$F$18-E73-F73,IF(B73=$F$15,$E$17-SUM($D$28:D72),0))</f>
        <v>#N/A</v>
      </c>
      <c r="E73" s="196" t="e">
        <f>IF(B73&lt;=$F$15,(E$17*(VLOOKUP($H$2,Лист2!$A:$O,12,0)-(B73-1)*VLOOKUP($H$2,Лист2!$A:$O,13,0))),0)</f>
        <v>#N/A</v>
      </c>
      <c r="F73" s="197" t="e">
        <f>ROUND((E$17-SUM(D$29:D72))*F$9*30/365,2)</f>
        <v>#N/A</v>
      </c>
      <c r="G73" s="286" t="e">
        <f t="shared" si="1"/>
        <v>#N/A</v>
      </c>
      <c r="H73" s="286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47317</v>
      </c>
      <c r="D74" s="195" t="e">
        <f>IF(B74&lt;$F$15,$F$18-E74-F74,IF(B74=$F$15,$E$17-SUM($D$28:D73),0))</f>
        <v>#N/A</v>
      </c>
      <c r="E74" s="196" t="e">
        <f>IF(B74&lt;=$F$15,(E$17*(VLOOKUP($H$2,Лист2!$A:$O,12,0)-(B74-1)*VLOOKUP($H$2,Лист2!$A:$O,13,0))),0)</f>
        <v>#N/A</v>
      </c>
      <c r="F74" s="197" t="e">
        <f>ROUND((E$17-SUM(D$29:D73))*F$9*30/365,2)</f>
        <v>#N/A</v>
      </c>
      <c r="G74" s="286" t="e">
        <f t="shared" si="1"/>
        <v>#N/A</v>
      </c>
      <c r="H74" s="286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47348</v>
      </c>
      <c r="D75" s="195" t="e">
        <f>IF(B75&lt;$F$15,$F$18-E75-F75,IF(B75=$F$15,$E$17-SUM($D$28:D74),0))</f>
        <v>#N/A</v>
      </c>
      <c r="E75" s="196" t="e">
        <f>IF(B75&lt;=$F$15,(E$17*(VLOOKUP($H$2,Лист2!$A:$O,12,0)-(B75-1)*VLOOKUP($H$2,Лист2!$A:$O,13,0))),0)</f>
        <v>#N/A</v>
      </c>
      <c r="F75" s="197" t="e">
        <f>ROUND((E$17-SUM(D$29:D74))*F$9*30/365,2)</f>
        <v>#N/A</v>
      </c>
      <c r="G75" s="286" t="e">
        <f t="shared" si="1"/>
        <v>#N/A</v>
      </c>
      <c r="H75" s="286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47379</v>
      </c>
      <c r="D76" s="195" t="e">
        <f>IF(B76&lt;$F$15,$F$18-E76-F76,IF(B76=$F$15,$E$17-SUM($D$28:D75),0))</f>
        <v>#N/A</v>
      </c>
      <c r="E76" s="196" t="e">
        <f>IF(B76&lt;=$F$15,(E$17*(VLOOKUP($H$2,Лист2!$A:$O,12,0)-(B76-1)*VLOOKUP($H$2,Лист2!$A:$O,13,0))),0)</f>
        <v>#N/A</v>
      </c>
      <c r="F76" s="197" t="e">
        <f>ROUND((E$17-SUM(D$29:D75))*F$9*30/365,2)</f>
        <v>#N/A</v>
      </c>
      <c r="G76" s="286" t="e">
        <f t="shared" si="1"/>
        <v>#N/A</v>
      </c>
      <c r="H76" s="286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47409</v>
      </c>
      <c r="D77" s="195" t="e">
        <f>IF(B77&lt;$F$15,$F$18-E77-F77,IF(B77=$F$15,$E$17-SUM($D$28:D76),0))</f>
        <v>#N/A</v>
      </c>
      <c r="E77" s="196" t="e">
        <f>IF(B77&lt;=$F$15,(E$17*(VLOOKUP($H$2,Лист2!$A:$O,12,0)-(B77-1)*VLOOKUP($H$2,Лист2!$A:$O,13,0))),0)</f>
        <v>#N/A</v>
      </c>
      <c r="F77" s="197" t="e">
        <f>ROUND((E$17-SUM(D$29:D76))*F$9*30/365,2)</f>
        <v>#N/A</v>
      </c>
      <c r="G77" s="286" t="e">
        <f t="shared" si="1"/>
        <v>#N/A</v>
      </c>
      <c r="H77" s="286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47440</v>
      </c>
      <c r="D78" s="195" t="e">
        <f>IF(B78&lt;$F$15,$F$18-E78-F78,IF(B78=$F$15,$E$17-SUM($D$28:D77),0))</f>
        <v>#N/A</v>
      </c>
      <c r="E78" s="196" t="e">
        <f>IF(B78&lt;=$F$15,(E$17*(VLOOKUP($H$2,Лист2!$A:$O,12,0)-(B78-1)*VLOOKUP($H$2,Лист2!$A:$O,13,0))),0)</f>
        <v>#N/A</v>
      </c>
      <c r="F78" s="197" t="e">
        <f>ROUND((E$17-SUM(D$29:D77))*F$9*30/365,2)</f>
        <v>#N/A</v>
      </c>
      <c r="G78" s="286" t="e">
        <f t="shared" si="1"/>
        <v>#N/A</v>
      </c>
      <c r="H78" s="286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47470</v>
      </c>
      <c r="D79" s="195" t="e">
        <f>IF(B79&lt;$F$15,$F$18-E79-F79,IF(B79=$F$15,$E$17-SUM($D$28:D78),0))</f>
        <v>#N/A</v>
      </c>
      <c r="E79" s="196" t="e">
        <f>IF(B79&lt;=$F$15,(E$17*(VLOOKUP($H$2,Лист2!$A:$O,12,0)-(B79-1)*VLOOKUP($H$2,Лист2!$A:$O,13,0))),0)</f>
        <v>#N/A</v>
      </c>
      <c r="F79" s="197" t="e">
        <f>ROUND((E$17-SUM(D$29:D78))*F$9*30/365,2)</f>
        <v>#N/A</v>
      </c>
      <c r="G79" s="286" t="e">
        <f t="shared" si="1"/>
        <v>#N/A</v>
      </c>
      <c r="H79" s="286"/>
      <c r="I79" s="134"/>
      <c r="J79" s="134"/>
    </row>
    <row r="80" spans="1:10" x14ac:dyDescent="0.2">
      <c r="A80" s="60"/>
      <c r="B80" s="128">
        <v>52</v>
      </c>
      <c r="C80" s="132">
        <f t="shared" ca="1" si="0"/>
        <v>47501</v>
      </c>
      <c r="D80" s="195" t="e">
        <f>IF(B80&lt;$F$15,$F$18-E80-F80,IF(B80=$F$15,$E$17-SUM($D$28:D79),0))</f>
        <v>#N/A</v>
      </c>
      <c r="E80" s="196" t="e">
        <f>IF(B80&lt;=$F$15,(E$17*(VLOOKUP($H$2,Лист2!$A:$O,12,0)-(B80-1)*VLOOKUP($H$2,Лист2!$A:$O,13,0))),0)</f>
        <v>#N/A</v>
      </c>
      <c r="F80" s="197" t="e">
        <f>ROUND((E$17-SUM(D$29:D79))*F$9*30/365,2)</f>
        <v>#N/A</v>
      </c>
      <c r="G80" s="286" t="e">
        <f t="shared" si="1"/>
        <v>#N/A</v>
      </c>
      <c r="H80" s="286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47532</v>
      </c>
      <c r="D81" s="195" t="e">
        <f>IF(B81&lt;$F$15,$F$18-E81-F81,IF(B81=$F$15,$E$17-SUM($D$28:D80),0))</f>
        <v>#N/A</v>
      </c>
      <c r="E81" s="196" t="e">
        <f>IF(B81&lt;=$F$15,(E$17*(VLOOKUP($H$2,Лист2!$A:$O,12,0)-(B81-1)*VLOOKUP($H$2,Лист2!$A:$O,13,0))),0)</f>
        <v>#N/A</v>
      </c>
      <c r="F81" s="197" t="e">
        <f>ROUND((E$17-SUM(D$29:D80))*F$9*30/365,2)</f>
        <v>#N/A</v>
      </c>
      <c r="G81" s="286" t="e">
        <f t="shared" si="1"/>
        <v>#N/A</v>
      </c>
      <c r="H81" s="286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47560</v>
      </c>
      <c r="D82" s="195" t="e">
        <f>IF(B82&lt;$F$15,$F$18-E82-F82,IF(B82=$F$15,$E$17-SUM($D$28:D81),0))</f>
        <v>#N/A</v>
      </c>
      <c r="E82" s="196" t="e">
        <f>IF(B82&lt;=$F$15,(E$17*(VLOOKUP($H$2,Лист2!$A:$O,12,0)-(B82-1)*VLOOKUP($H$2,Лист2!$A:$O,13,0))),0)</f>
        <v>#N/A</v>
      </c>
      <c r="F82" s="197" t="e">
        <f>ROUND((E$17-SUM(D$29:D81))*F$9*30/365,2)</f>
        <v>#N/A</v>
      </c>
      <c r="G82" s="286" t="e">
        <f t="shared" si="1"/>
        <v>#N/A</v>
      </c>
      <c r="H82" s="286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47591</v>
      </c>
      <c r="D83" s="195" t="e">
        <f>IF(B83&lt;$F$15,$F$18-E83-F83,IF(B83=$F$15,$E$17-SUM($D$28:D82),0))</f>
        <v>#N/A</v>
      </c>
      <c r="E83" s="196" t="e">
        <f>IF(B83&lt;=$F$15,(E$17*(VLOOKUP($H$2,Лист2!$A:$O,12,0)-(B83-1)*VLOOKUP($H$2,Лист2!$A:$O,13,0))),0)</f>
        <v>#N/A</v>
      </c>
      <c r="F83" s="197" t="e">
        <f>ROUND((E$17-SUM(D$29:D82))*F$9*30/365,2)</f>
        <v>#N/A</v>
      </c>
      <c r="G83" s="286" t="e">
        <f t="shared" si="1"/>
        <v>#N/A</v>
      </c>
      <c r="H83" s="286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47621</v>
      </c>
      <c r="D84" s="195" t="e">
        <f>IF(B84&lt;$F$15,$F$18-E84-F84,IF(B84=$F$15,$E$17-SUM($D$28:D83),0))</f>
        <v>#N/A</v>
      </c>
      <c r="E84" s="196" t="e">
        <f>IF(B84&lt;=$F$15,(E$17*(VLOOKUP($H$2,Лист2!$A:$O,12,0)-(B84-1)*VLOOKUP($H$2,Лист2!$A:$O,13,0))),0)</f>
        <v>#N/A</v>
      </c>
      <c r="F84" s="197" t="e">
        <f>ROUND((E$17-SUM(D$29:D83))*F$9*30/365,2)</f>
        <v>#N/A</v>
      </c>
      <c r="G84" s="286" t="e">
        <f t="shared" si="1"/>
        <v>#N/A</v>
      </c>
      <c r="H84" s="286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47652</v>
      </c>
      <c r="D85" s="195" t="e">
        <f>IF(B85&lt;$F$15,$F$18-E85-F85,IF(B85=$F$15,$E$17-SUM($D$28:D84),0))</f>
        <v>#N/A</v>
      </c>
      <c r="E85" s="196" t="e">
        <f>IF(B85&lt;=$F$15,(E$17*(VLOOKUP($H$2,Лист2!$A:$O,12,0)-(B85-1)*VLOOKUP($H$2,Лист2!$A:$O,13,0))),0)</f>
        <v>#N/A</v>
      </c>
      <c r="F85" s="197" t="e">
        <f>ROUND((E$17-SUM(D$29:D84))*F$9*30/365,2)</f>
        <v>#N/A</v>
      </c>
      <c r="G85" s="286" t="e">
        <f t="shared" si="1"/>
        <v>#N/A</v>
      </c>
      <c r="H85" s="286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47682</v>
      </c>
      <c r="D86" s="195" t="e">
        <f>IF(B86&lt;$F$15,$F$18-E86-F86,IF(B86=$F$15,$E$17-SUM($D$28:D85),0))</f>
        <v>#N/A</v>
      </c>
      <c r="E86" s="196" t="e">
        <f>IF(B86&lt;=$F$15,(E$17*(VLOOKUP($H$2,Лист2!$A:$O,12,0)-(B86-1)*VLOOKUP($H$2,Лист2!$A:$O,13,0))),0)</f>
        <v>#N/A</v>
      </c>
      <c r="F86" s="197" t="e">
        <f>ROUND((E$17-SUM(D$29:D85))*F$9*30/365,2)</f>
        <v>#N/A</v>
      </c>
      <c r="G86" s="286" t="e">
        <f t="shared" si="1"/>
        <v>#N/A</v>
      </c>
      <c r="H86" s="286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47713</v>
      </c>
      <c r="D87" s="195" t="e">
        <f>IF(B87&lt;$F$15,$F$18-E87-F87,IF(B87=$F$15,$E$17-SUM($D$28:D86),0))</f>
        <v>#N/A</v>
      </c>
      <c r="E87" s="196" t="e">
        <f>IF(B87&lt;=$F$15,(E$17*(VLOOKUP($H$2,Лист2!$A:$O,12,0)-(B87-1)*VLOOKUP($H$2,Лист2!$A:$O,13,0))),0)</f>
        <v>#N/A</v>
      </c>
      <c r="F87" s="197" t="e">
        <f>ROUND((E$17-SUM(D$29:D86))*F$9*30/365,2)</f>
        <v>#N/A</v>
      </c>
      <c r="G87" s="286" t="e">
        <f t="shared" si="1"/>
        <v>#N/A</v>
      </c>
      <c r="H87" s="286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47744</v>
      </c>
      <c r="D88" s="198" t="e">
        <f>IF(B88&lt;$F$15,$F$18-E88-F88,IF(B88=$F$15,$E$17-SUM($D$28:D87),0))</f>
        <v>#N/A</v>
      </c>
      <c r="E88" s="199" t="e">
        <f>IF(B88&lt;=$F$15,(E$17*(VLOOKUP($H$2,Лист2!$A:$O,12,0)-(B88-1)*VLOOKUP($H$2,Лист2!$A:$O,13,0))),0)</f>
        <v>#N/A</v>
      </c>
      <c r="F88" s="200" t="e">
        <f>ROUND((E$17-SUM(D$29:D87))*F$9*30/365,2)</f>
        <v>#N/A</v>
      </c>
      <c r="G88" s="290" t="e">
        <f t="shared" si="1"/>
        <v>#N/A</v>
      </c>
      <c r="H88" s="290"/>
      <c r="I88" s="134"/>
      <c r="J88" s="134"/>
    </row>
    <row r="89" spans="1:10" ht="16.5" thickBot="1" x14ac:dyDescent="0.25">
      <c r="A89" s="60"/>
      <c r="B89" s="269" t="s">
        <v>3</v>
      </c>
      <c r="C89" s="287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88" t="e">
        <f>SUM(G29:H88)</f>
        <v>#N/A</v>
      </c>
      <c r="H89" s="289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3" t="s">
        <v>5</v>
      </c>
      <c r="F91" s="273"/>
      <c r="G91" s="273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B15:E15"/>
    <mergeCell ref="G15:H15"/>
    <mergeCell ref="B18:E18"/>
    <mergeCell ref="G18:H18"/>
    <mergeCell ref="B20:E20"/>
    <mergeCell ref="G20:H20"/>
    <mergeCell ref="B9:E9"/>
    <mergeCell ref="G9:H9"/>
    <mergeCell ref="B11:E11"/>
    <mergeCell ref="G11:H11"/>
    <mergeCell ref="B13:E13"/>
    <mergeCell ref="G13:H13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700-000000000000}">
      <formula1>$K$40:$K$44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O14"/>
  <sheetViews>
    <sheetView zoomScale="85" zoomScaleNormal="85" workbookViewId="0">
      <selection activeCell="L28" sqref="L28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5" width="9.140625" style="141"/>
    <col min="6" max="6" width="17.28515625" style="141" customWidth="1"/>
    <col min="7" max="7" width="16.85546875" style="141" customWidth="1"/>
    <col min="8" max="8" width="15.7109375" style="141" customWidth="1"/>
    <col min="9" max="11" width="9.140625" style="141" customWidth="1"/>
    <col min="12" max="14" width="17.42578125" style="141" customWidth="1"/>
    <col min="15" max="16384" width="9.140625" style="141"/>
  </cols>
  <sheetData>
    <row r="1" spans="1:15" ht="25.5" x14ac:dyDescent="0.2">
      <c r="B1" s="141" t="s">
        <v>25</v>
      </c>
      <c r="C1" s="141" t="s">
        <v>26</v>
      </c>
      <c r="D1" s="141" t="s">
        <v>27</v>
      </c>
      <c r="E1" s="218" t="s">
        <v>88</v>
      </c>
      <c r="F1" s="141" t="s">
        <v>28</v>
      </c>
      <c r="G1" s="141" t="s">
        <v>29</v>
      </c>
      <c r="K1" s="141" t="s">
        <v>20</v>
      </c>
      <c r="L1" s="141" t="s">
        <v>2</v>
      </c>
      <c r="M1" s="141" t="s">
        <v>38</v>
      </c>
      <c r="N1" s="141" t="s">
        <v>39</v>
      </c>
    </row>
    <row r="2" spans="1:15" x14ac:dyDescent="0.2">
      <c r="D2" s="144"/>
      <c r="E2" s="144"/>
      <c r="F2" s="144"/>
      <c r="G2" s="144"/>
      <c r="I2" s="141" t="s">
        <v>31</v>
      </c>
      <c r="J2" s="141" t="s">
        <v>30</v>
      </c>
      <c r="L2" s="145"/>
      <c r="M2" s="145"/>
      <c r="N2" s="145"/>
    </row>
    <row r="3" spans="1:15" x14ac:dyDescent="0.2">
      <c r="A3" s="141">
        <v>1</v>
      </c>
      <c r="B3" s="141">
        <v>2</v>
      </c>
      <c r="C3" s="141">
        <v>3</v>
      </c>
      <c r="D3" s="141">
        <v>4</v>
      </c>
      <c r="F3" s="141">
        <v>5</v>
      </c>
      <c r="G3" s="141">
        <v>6</v>
      </c>
      <c r="H3" s="141">
        <v>7</v>
      </c>
      <c r="I3" s="141">
        <v>8</v>
      </c>
      <c r="J3" s="141">
        <v>9</v>
      </c>
      <c r="K3" s="141">
        <v>10</v>
      </c>
      <c r="L3" s="141">
        <v>11</v>
      </c>
      <c r="M3" s="141">
        <v>12</v>
      </c>
      <c r="N3" s="141">
        <v>13</v>
      </c>
      <c r="O3" s="141">
        <v>14</v>
      </c>
    </row>
    <row r="4" spans="1:15" x14ac:dyDescent="0.2">
      <c r="A4" s="220" t="s">
        <v>90</v>
      </c>
      <c r="B4" s="220">
        <v>500000</v>
      </c>
      <c r="C4" s="220">
        <v>60</v>
      </c>
      <c r="D4" s="221">
        <v>0.89990000000000003</v>
      </c>
      <c r="E4" s="221">
        <f>D4-10%</f>
        <v>0.79990000000000006</v>
      </c>
      <c r="F4" s="221">
        <v>0</v>
      </c>
      <c r="G4" s="221">
        <v>0</v>
      </c>
      <c r="H4" s="220" t="s">
        <v>94</v>
      </c>
      <c r="I4" s="220">
        <v>500000</v>
      </c>
      <c r="J4" s="220"/>
      <c r="K4" s="220">
        <v>1</v>
      </c>
      <c r="L4" s="222">
        <v>3738.9128907694981</v>
      </c>
      <c r="M4" s="223">
        <v>0</v>
      </c>
      <c r="N4" s="224">
        <v>0</v>
      </c>
      <c r="O4" s="220">
        <v>5000</v>
      </c>
    </row>
    <row r="5" spans="1:15" x14ac:dyDescent="0.2">
      <c r="A5" s="220" t="s">
        <v>91</v>
      </c>
      <c r="B5" s="220">
        <v>500000</v>
      </c>
      <c r="C5" s="220">
        <v>36</v>
      </c>
      <c r="D5" s="221">
        <v>0.79990000000000006</v>
      </c>
      <c r="E5" s="221">
        <f>D5-10%</f>
        <v>0.69990000000000008</v>
      </c>
      <c r="F5" s="221">
        <v>0</v>
      </c>
      <c r="G5" s="221">
        <v>0</v>
      </c>
      <c r="H5" s="220" t="s">
        <v>94</v>
      </c>
      <c r="I5" s="220">
        <v>500000</v>
      </c>
      <c r="J5" s="220"/>
      <c r="K5" s="220">
        <v>1</v>
      </c>
      <c r="L5" s="222">
        <v>3738.9128907694981</v>
      </c>
      <c r="M5" s="223">
        <v>0</v>
      </c>
      <c r="N5" s="224">
        <v>0</v>
      </c>
      <c r="O5" s="220">
        <v>5000</v>
      </c>
    </row>
    <row r="6" spans="1:15" x14ac:dyDescent="0.2">
      <c r="A6" s="220" t="s">
        <v>92</v>
      </c>
      <c r="B6" s="220">
        <v>500000</v>
      </c>
      <c r="C6" s="220">
        <v>24</v>
      </c>
      <c r="D6" s="221">
        <v>0.74990000000000001</v>
      </c>
      <c r="E6" s="221">
        <f t="shared" ref="E6:E7" si="0">D6-10%</f>
        <v>0.64990000000000003</v>
      </c>
      <c r="F6" s="221">
        <v>0</v>
      </c>
      <c r="G6" s="221">
        <v>0</v>
      </c>
      <c r="H6" s="220" t="s">
        <v>94</v>
      </c>
      <c r="I6" s="220">
        <v>500000</v>
      </c>
      <c r="J6" s="220"/>
      <c r="K6" s="220">
        <v>1</v>
      </c>
      <c r="L6" s="222">
        <v>4234.5536931619117</v>
      </c>
      <c r="M6" s="223">
        <v>0</v>
      </c>
      <c r="N6" s="224">
        <v>0</v>
      </c>
      <c r="O6" s="220">
        <v>5000</v>
      </c>
    </row>
    <row r="7" spans="1:15" x14ac:dyDescent="0.2">
      <c r="A7" s="220" t="s">
        <v>93</v>
      </c>
      <c r="B7" s="220">
        <v>500000</v>
      </c>
      <c r="C7" s="220">
        <v>12</v>
      </c>
      <c r="D7" s="221">
        <v>0.64990000000000003</v>
      </c>
      <c r="E7" s="221">
        <f t="shared" si="0"/>
        <v>0.54990000000000006</v>
      </c>
      <c r="F7" s="221">
        <v>0</v>
      </c>
      <c r="G7" s="221">
        <v>0</v>
      </c>
      <c r="H7" s="220" t="s">
        <v>94</v>
      </c>
      <c r="I7" s="220">
        <v>500000</v>
      </c>
      <c r="J7" s="220"/>
      <c r="K7" s="220">
        <v>1</v>
      </c>
      <c r="L7" s="222">
        <v>6185.8466183236624</v>
      </c>
      <c r="M7" s="223">
        <v>0</v>
      </c>
      <c r="N7" s="224">
        <v>0</v>
      </c>
      <c r="O7" s="220">
        <v>5000</v>
      </c>
    </row>
    <row r="11" spans="1:15" x14ac:dyDescent="0.2">
      <c r="A11" s="220" t="s">
        <v>90</v>
      </c>
      <c r="B11" s="220">
        <v>500000</v>
      </c>
      <c r="C11" s="220">
        <v>60</v>
      </c>
      <c r="D11" s="221">
        <v>0.89990000000000003</v>
      </c>
      <c r="E11" s="221">
        <v>0</v>
      </c>
      <c r="F11" s="221">
        <v>0</v>
      </c>
      <c r="G11" s="220" t="s">
        <v>94</v>
      </c>
      <c r="H11" s="220">
        <v>500000</v>
      </c>
      <c r="I11" s="220"/>
      <c r="J11" s="220">
        <v>1</v>
      </c>
      <c r="K11" s="222">
        <v>3738.9128907694981</v>
      </c>
      <c r="L11" s="223">
        <v>0</v>
      </c>
      <c r="M11" s="224">
        <v>0</v>
      </c>
      <c r="N11" s="220">
        <v>5000</v>
      </c>
    </row>
    <row r="12" spans="1:15" x14ac:dyDescent="0.2">
      <c r="A12" s="220" t="s">
        <v>91</v>
      </c>
      <c r="B12" s="220">
        <v>500000</v>
      </c>
      <c r="C12" s="220">
        <v>36</v>
      </c>
      <c r="D12" s="221">
        <v>0.79990000000000006</v>
      </c>
      <c r="E12" s="221">
        <v>0</v>
      </c>
      <c r="F12" s="221">
        <v>0</v>
      </c>
      <c r="G12" s="220" t="s">
        <v>94</v>
      </c>
      <c r="H12" s="220">
        <v>500000</v>
      </c>
      <c r="I12" s="220"/>
      <c r="J12" s="220">
        <v>1</v>
      </c>
      <c r="K12" s="222">
        <v>3738.9128907694981</v>
      </c>
      <c r="L12" s="223">
        <v>0</v>
      </c>
      <c r="M12" s="224">
        <v>0</v>
      </c>
      <c r="N12" s="220">
        <v>5000</v>
      </c>
    </row>
    <row r="13" spans="1:15" x14ac:dyDescent="0.2">
      <c r="A13" s="220" t="s">
        <v>92</v>
      </c>
      <c r="B13" s="220">
        <v>500000</v>
      </c>
      <c r="C13" s="220">
        <v>24</v>
      </c>
      <c r="D13" s="221">
        <v>0.74990000000000001</v>
      </c>
      <c r="E13" s="221">
        <v>0</v>
      </c>
      <c r="F13" s="221">
        <v>0</v>
      </c>
      <c r="G13" s="220" t="s">
        <v>94</v>
      </c>
      <c r="H13" s="220">
        <v>500000</v>
      </c>
      <c r="I13" s="220"/>
      <c r="J13" s="220">
        <v>1</v>
      </c>
      <c r="K13" s="222">
        <v>4234.5536931619117</v>
      </c>
      <c r="L13" s="223">
        <v>0</v>
      </c>
      <c r="M13" s="224">
        <v>0</v>
      </c>
      <c r="N13" s="220">
        <v>5000</v>
      </c>
    </row>
    <row r="14" spans="1:15" x14ac:dyDescent="0.2">
      <c r="A14" s="220" t="s">
        <v>93</v>
      </c>
      <c r="B14" s="220">
        <v>500000</v>
      </c>
      <c r="C14" s="220">
        <v>12</v>
      </c>
      <c r="D14" s="221">
        <v>0.64990000000000003</v>
      </c>
      <c r="E14" s="221">
        <v>0</v>
      </c>
      <c r="F14" s="221">
        <v>0</v>
      </c>
      <c r="G14" s="220" t="s">
        <v>94</v>
      </c>
      <c r="H14" s="220">
        <v>500000</v>
      </c>
      <c r="I14" s="220"/>
      <c r="J14" s="220">
        <v>1</v>
      </c>
      <c r="K14" s="222">
        <v>6185.8466183236624</v>
      </c>
      <c r="L14" s="223">
        <v>0</v>
      </c>
      <c r="M14" s="224">
        <v>0</v>
      </c>
      <c r="N14" s="220">
        <v>5000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</vt:i4>
      </vt:variant>
    </vt:vector>
  </HeadingPairs>
  <TitlesOfParts>
    <vt:vector size="19" baseType="lpstr">
      <vt:lpstr>Головна</vt:lpstr>
      <vt:lpstr>Простий</vt:lpstr>
      <vt:lpstr>BIG CASH</vt:lpstr>
      <vt:lpstr>Пенсійний</vt:lpstr>
      <vt:lpstr>Від 1 000 до 29 999</vt:lpstr>
      <vt:lpstr>Цільовий без СК</vt:lpstr>
      <vt:lpstr>Цільовий без СК_-10%</vt:lpstr>
      <vt:lpstr>Від 200 000 до 500 000</vt:lpstr>
      <vt:lpstr>Лист2</vt:lpstr>
      <vt:lpstr>Назви</vt:lpstr>
      <vt:lpstr>Лист3</vt:lpstr>
      <vt:lpstr>'BIG CASH'!Область_друку</vt:lpstr>
      <vt:lpstr>'Від 1 000 до 29 999'!Область_друку</vt:lpstr>
      <vt:lpstr>'Від 200 000 до 500 000'!Область_друку</vt:lpstr>
      <vt:lpstr>Головна!Область_друку</vt:lpstr>
      <vt:lpstr>Пенсійний!Область_друку</vt:lpstr>
      <vt:lpstr>Простий!Область_друку</vt:lpstr>
      <vt:lpstr>'Цільовий без СК'!Область_друку</vt:lpstr>
      <vt:lpstr>'Цільовий без СК_-10%'!Область_друку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VRusak</dc:creator>
  <cp:lastModifiedBy>Долюк Юлія</cp:lastModifiedBy>
  <cp:lastPrinted>2020-02-12T09:25:28Z</cp:lastPrinted>
  <dcterms:created xsi:type="dcterms:W3CDTF">2008-03-13T06:51:50Z</dcterms:created>
  <dcterms:modified xsi:type="dcterms:W3CDTF">2025-09-18T13:38:13Z</dcterms:modified>
</cp:coreProperties>
</file>