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КЕШ\Мобільний+\"/>
    </mc:Choice>
  </mc:AlternateContent>
  <xr:revisionPtr revIDLastSave="0" documentId="13_ncr:1_{74A50BCD-8E73-4CD0-A0B0-3DB15B6A5F76}" xr6:coauthVersionLast="47" xr6:coauthVersionMax="47" xr10:uidLastSave="{00000000-0000-0000-0000-000000000000}"/>
  <workbookProtection workbookAlgorithmName="SHA-512" workbookHashValue="BZKWlECmFxKCbUiNSTiLUNrfjCw03zZAIdJz6FP/6xMvYE9YcYU7Fq/+jQ8/y4OnN97GikNUTqVCiQnR/G0/8g==" workbookSaltValue="viI9gVBrNZe1z1E+BCAmFA==" workbookSpinCount="100000" lockStructure="1"/>
  <bookViews>
    <workbookView xWindow="-120" yWindow="-120" windowWidth="29040" windowHeight="15990" tabRatio="831" xr2:uid="{00000000-000D-0000-FFFF-FFFF00000000}"/>
  </bookViews>
  <sheets>
    <sheet name="Мобільний_для лідогенераторів" sheetId="189" r:id="rId1"/>
    <sheet name="Лист2" sheetId="165" state="hidden" r:id="rId2"/>
    <sheet name="Назви" sheetId="161" state="hidden" r:id="rId3"/>
  </sheets>
  <definedNames>
    <definedName name="_xlnm._FilterDatabase" localSheetId="0" hidden="1">'Мобільний_для лідогенераторів'!$A$27:$H$89</definedName>
    <definedName name="_xlnm.Print_Area" localSheetId="0">'Мобільний_для лідогенераторів'!$A$1:$K$92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89" l="1"/>
  <c r="K13" i="189"/>
  <c r="K4" i="165"/>
  <c r="H4" i="165"/>
  <c r="G4" i="165"/>
  <c r="K16" i="189"/>
  <c r="K14" i="189" l="1"/>
  <c r="H5" i="165"/>
  <c r="K5" i="165" s="1"/>
  <c r="G5" i="165"/>
  <c r="G7" i="165" l="1"/>
  <c r="H7" i="165"/>
  <c r="K7" i="165" s="1"/>
  <c r="K15" i="189" l="1"/>
  <c r="G27" i="189"/>
  <c r="F27" i="189"/>
  <c r="E27" i="189"/>
  <c r="D27" i="189"/>
  <c r="C27" i="189"/>
  <c r="B26" i="189"/>
  <c r="B24" i="189"/>
  <c r="E22" i="189"/>
  <c r="D22" i="189"/>
  <c r="C22" i="189"/>
  <c r="B22" i="189"/>
  <c r="E20" i="189"/>
  <c r="D20" i="189"/>
  <c r="C20" i="189"/>
  <c r="B20" i="189"/>
  <c r="E18" i="189"/>
  <c r="D18" i="189"/>
  <c r="C18" i="189"/>
  <c r="B18" i="189"/>
  <c r="F15" i="189"/>
  <c r="E15" i="189"/>
  <c r="D15" i="189"/>
  <c r="C15" i="189"/>
  <c r="B15" i="189"/>
  <c r="F13" i="189"/>
  <c r="E13" i="189"/>
  <c r="D13" i="189"/>
  <c r="C13" i="189"/>
  <c r="B13" i="189"/>
  <c r="F11" i="189"/>
  <c r="E16" i="189" s="1"/>
  <c r="E11" i="189"/>
  <c r="D11" i="189"/>
  <c r="C11" i="189"/>
  <c r="B11" i="189"/>
  <c r="F9" i="189"/>
  <c r="E9" i="189"/>
  <c r="D9" i="189"/>
  <c r="C9" i="189"/>
  <c r="B9" i="189"/>
  <c r="G3" i="189"/>
  <c r="G2" i="189"/>
  <c r="F2" i="189"/>
  <c r="E2" i="189"/>
  <c r="C29" i="189" l="1"/>
  <c r="C30" i="189" s="1"/>
  <c r="C31" i="189" s="1"/>
  <c r="C32" i="189" s="1"/>
  <c r="C33" i="189" s="1"/>
  <c r="C34" i="189" s="1"/>
  <c r="C35" i="189" s="1"/>
  <c r="C36" i="189" s="1"/>
  <c r="C37" i="189" s="1"/>
  <c r="C38" i="189" s="1"/>
  <c r="C39" i="189" s="1"/>
  <c r="C40" i="189" s="1"/>
  <c r="C41" i="189" s="1"/>
  <c r="C42" i="189" s="1"/>
  <c r="C43" i="189" s="1"/>
  <c r="C44" i="189" s="1"/>
  <c r="C45" i="189" s="1"/>
  <c r="C46" i="189" s="1"/>
  <c r="C47" i="189" s="1"/>
  <c r="C48" i="189" s="1"/>
  <c r="C49" i="189" s="1"/>
  <c r="C50" i="189" s="1"/>
  <c r="C51" i="189" s="1"/>
  <c r="C52" i="189" s="1"/>
  <c r="C53" i="189" s="1"/>
  <c r="C54" i="189" s="1"/>
  <c r="C55" i="189" s="1"/>
  <c r="C56" i="189" s="1"/>
  <c r="C57" i="189" s="1"/>
  <c r="C58" i="189" s="1"/>
  <c r="C59" i="189" s="1"/>
  <c r="C60" i="189" s="1"/>
  <c r="C61" i="189" s="1"/>
  <c r="C62" i="189" s="1"/>
  <c r="C63" i="189" s="1"/>
  <c r="C64" i="189" s="1"/>
  <c r="C65" i="189" s="1"/>
  <c r="C66" i="189" s="1"/>
  <c r="C67" i="189" s="1"/>
  <c r="C68" i="189" s="1"/>
  <c r="C69" i="189" s="1"/>
  <c r="C70" i="189" s="1"/>
  <c r="C71" i="189" s="1"/>
  <c r="C72" i="189" s="1"/>
  <c r="C73" i="189" s="1"/>
  <c r="C74" i="189" s="1"/>
  <c r="C75" i="189" s="1"/>
  <c r="C76" i="189" s="1"/>
  <c r="C77" i="189" s="1"/>
  <c r="C78" i="189" s="1"/>
  <c r="C79" i="189" s="1"/>
  <c r="C80" i="189" s="1"/>
  <c r="C81" i="189" s="1"/>
  <c r="C82" i="189" s="1"/>
  <c r="C83" i="189" s="1"/>
  <c r="C84" i="189" s="1"/>
  <c r="C85" i="189" s="1"/>
  <c r="C86" i="189" s="1"/>
  <c r="C87" i="189" s="1"/>
  <c r="C88" i="189" s="1"/>
  <c r="E3" i="189"/>
  <c r="F3" i="189" s="1"/>
  <c r="F72" i="189" l="1"/>
  <c r="D83" i="189"/>
  <c r="D67" i="189"/>
  <c r="F75" i="189"/>
  <c r="D86" i="189"/>
  <c r="D70" i="189"/>
  <c r="F78" i="189"/>
  <c r="D88" i="189"/>
  <c r="D73" i="189"/>
  <c r="F81" i="189"/>
  <c r="F65" i="189"/>
  <c r="D84" i="189"/>
  <c r="F84" i="189"/>
  <c r="F68" i="189"/>
  <c r="D79" i="189"/>
  <c r="F87" i="189"/>
  <c r="F71" i="189"/>
  <c r="D82" i="189"/>
  <c r="D66" i="189"/>
  <c r="F74" i="189"/>
  <c r="D85" i="189"/>
  <c r="D69" i="189"/>
  <c r="F77" i="189"/>
  <c r="F88" i="189"/>
  <c r="D72" i="189"/>
  <c r="F80" i="189"/>
  <c r="D80" i="189"/>
  <c r="D75" i="189"/>
  <c r="F83" i="189"/>
  <c r="F67" i="189"/>
  <c r="D78" i="189"/>
  <c r="F86" i="189"/>
  <c r="F70" i="189"/>
  <c r="D81" i="189"/>
  <c r="D65" i="189"/>
  <c r="F73" i="189"/>
  <c r="D68" i="189"/>
  <c r="F76" i="189"/>
  <c r="D87" i="189"/>
  <c r="D71" i="189"/>
  <c r="F79" i="189"/>
  <c r="D76" i="189"/>
  <c r="D74" i="189"/>
  <c r="F82" i="189"/>
  <c r="F66" i="189"/>
  <c r="D77" i="189"/>
  <c r="F85" i="189"/>
  <c r="F69" i="189"/>
  <c r="D29" i="189"/>
  <c r="D49" i="189"/>
  <c r="D33" i="189"/>
  <c r="F53" i="189"/>
  <c r="F37" i="189"/>
  <c r="D56" i="189"/>
  <c r="D40" i="189"/>
  <c r="F60" i="189"/>
  <c r="F44" i="189"/>
  <c r="D63" i="189"/>
  <c r="D47" i="189"/>
  <c r="D31" i="189"/>
  <c r="F51" i="189"/>
  <c r="F35" i="189"/>
  <c r="D54" i="189"/>
  <c r="D38" i="189"/>
  <c r="F58" i="189"/>
  <c r="F42" i="189"/>
  <c r="D61" i="189"/>
  <c r="D45" i="189"/>
  <c r="F29" i="189"/>
  <c r="F49" i="189"/>
  <c r="F33" i="189"/>
  <c r="D52" i="189"/>
  <c r="D36" i="189"/>
  <c r="F56" i="189"/>
  <c r="F40" i="189"/>
  <c r="D59" i="189"/>
  <c r="D43" i="189"/>
  <c r="F63" i="189"/>
  <c r="F47" i="189"/>
  <c r="F31" i="189"/>
  <c r="D50" i="189"/>
  <c r="D34" i="189"/>
  <c r="F54" i="189"/>
  <c r="F38" i="189"/>
  <c r="D57" i="189"/>
  <c r="D41" i="189"/>
  <c r="F61" i="189"/>
  <c r="F45" i="189"/>
  <c r="D64" i="189"/>
  <c r="D48" i="189"/>
  <c r="D32" i="189"/>
  <c r="F52" i="189"/>
  <c r="F36" i="189"/>
  <c r="D55" i="189"/>
  <c r="D39" i="189"/>
  <c r="F59" i="189"/>
  <c r="F43" i="189"/>
  <c r="D62" i="189"/>
  <c r="D46" i="189"/>
  <c r="D30" i="189"/>
  <c r="F50" i="189"/>
  <c r="F34" i="189"/>
  <c r="D53" i="189"/>
  <c r="D37" i="189"/>
  <c r="F57" i="189"/>
  <c r="F41" i="189"/>
  <c r="D60" i="189"/>
  <c r="D44" i="189"/>
  <c r="F64" i="189"/>
  <c r="F48" i="189"/>
  <c r="F32" i="189"/>
  <c r="D51" i="189"/>
  <c r="D35" i="189"/>
  <c r="F55" i="189"/>
  <c r="F39" i="189"/>
  <c r="D58" i="189"/>
  <c r="D42" i="189"/>
  <c r="F62" i="189"/>
  <c r="F46" i="189"/>
  <c r="F30" i="189"/>
  <c r="E17" i="189"/>
  <c r="E76" i="189" s="1"/>
  <c r="G28" i="189"/>
  <c r="E88" i="189" l="1"/>
  <c r="E68" i="189"/>
  <c r="E72" i="189"/>
  <c r="E62" i="189"/>
  <c r="E71" i="189"/>
  <c r="E87" i="189"/>
  <c r="E77" i="189"/>
  <c r="E70" i="189"/>
  <c r="E86" i="189"/>
  <c r="E79" i="189"/>
  <c r="E69" i="189"/>
  <c r="E85" i="189"/>
  <c r="E78" i="189"/>
  <c r="E67" i="189"/>
  <c r="E83" i="189"/>
  <c r="E73" i="189"/>
  <c r="E66" i="189"/>
  <c r="E82" i="189"/>
  <c r="E75" i="189"/>
  <c r="E65" i="189"/>
  <c r="E81" i="189"/>
  <c r="E74" i="189"/>
  <c r="E80" i="189"/>
  <c r="E84" i="189"/>
  <c r="E60" i="189"/>
  <c r="E49" i="189"/>
  <c r="E45" i="189"/>
  <c r="E54" i="189"/>
  <c r="E55" i="189"/>
  <c r="E56" i="189"/>
  <c r="E40" i="189"/>
  <c r="E47" i="189"/>
  <c r="E34" i="189"/>
  <c r="E59" i="189"/>
  <c r="E41" i="189"/>
  <c r="E44" i="189"/>
  <c r="E43" i="189"/>
  <c r="E31" i="189"/>
  <c r="E53" i="189"/>
  <c r="E48" i="189"/>
  <c r="E32" i="189"/>
  <c r="E58" i="189"/>
  <c r="F18" i="189"/>
  <c r="E36" i="189"/>
  <c r="E64" i="189"/>
  <c r="E35" i="189"/>
  <c r="E52" i="189"/>
  <c r="E63" i="189"/>
  <c r="E37" i="189"/>
  <c r="E29" i="189"/>
  <c r="E57" i="189"/>
  <c r="E39" i="189"/>
  <c r="E33" i="189"/>
  <c r="E51" i="189"/>
  <c r="E42" i="189"/>
  <c r="E38" i="189"/>
  <c r="E46" i="189"/>
  <c r="E30" i="189"/>
  <c r="E50" i="189"/>
  <c r="E61" i="189"/>
  <c r="G29" i="189" l="1"/>
  <c r="E89" i="189"/>
  <c r="G30" i="189" l="1"/>
  <c r="G31" i="189" l="1"/>
  <c r="G32" i="189" l="1"/>
  <c r="G33" i="189"/>
  <c r="G34" i="189" l="1"/>
  <c r="G35" i="189" l="1"/>
  <c r="G36" i="189" l="1"/>
  <c r="G37" i="189"/>
  <c r="G38" i="189" l="1"/>
  <c r="G39" i="189" l="1"/>
  <c r="G40" i="189" l="1"/>
  <c r="G41" i="189" l="1"/>
  <c r="G42" i="189" l="1"/>
  <c r="G43" i="189" l="1"/>
  <c r="G44" i="189" l="1"/>
  <c r="G45" i="189" l="1"/>
  <c r="G46" i="189" l="1"/>
  <c r="G47" i="189" l="1"/>
  <c r="G48" i="189" l="1"/>
  <c r="G49" i="189" l="1"/>
  <c r="G50" i="189" l="1"/>
  <c r="G51" i="189" l="1"/>
  <c r="G52" i="189" l="1"/>
  <c r="G53" i="189" l="1"/>
  <c r="G54" i="189" l="1"/>
  <c r="G55" i="189" l="1"/>
  <c r="G56" i="189" l="1"/>
  <c r="G57" i="189" l="1"/>
  <c r="G58" i="189" l="1"/>
  <c r="G59" i="189" l="1"/>
  <c r="G60" i="189" l="1"/>
  <c r="G61" i="189" l="1"/>
  <c r="G62" i="189" l="1"/>
  <c r="G63" i="189" l="1"/>
  <c r="G64" i="189" l="1"/>
  <c r="G65" i="189" l="1"/>
  <c r="G66" i="189" l="1"/>
  <c r="G67" i="189" l="1"/>
  <c r="G68" i="189" l="1"/>
  <c r="G69" i="189" l="1"/>
  <c r="G70" i="189" l="1"/>
  <c r="G71" i="189" l="1"/>
  <c r="G72" i="189" l="1"/>
  <c r="G73" i="189" l="1"/>
  <c r="G74" i="189" l="1"/>
  <c r="G75" i="189" l="1"/>
  <c r="G76" i="189" l="1"/>
  <c r="G77" i="189" l="1"/>
  <c r="G78" i="189" l="1"/>
  <c r="G79" i="189" l="1"/>
  <c r="G80" i="189" l="1"/>
  <c r="G81" i="189" l="1"/>
  <c r="G82" i="189" l="1"/>
  <c r="G83" i="189" l="1"/>
  <c r="G84" i="189" l="1"/>
  <c r="G85" i="189" l="1"/>
  <c r="G86" i="189" l="1"/>
  <c r="G87" i="189" l="1"/>
  <c r="F89" i="189"/>
  <c r="G88" i="189" l="1"/>
  <c r="F24" i="189" s="1"/>
  <c r="D89" i="189"/>
  <c r="F7" i="189" s="1"/>
  <c r="G89" i="189" l="1"/>
  <c r="F20" i="189" s="1"/>
  <c r="F22" i="189" s="1"/>
  <c r="G6" i="165" l="1"/>
  <c r="H6" i="165"/>
  <c r="K6" i="165" s="1"/>
  <c r="H3" i="189" l="1"/>
  <c r="C21" i="161"/>
  <c r="H21" i="161" s="1"/>
  <c r="D21" i="161"/>
  <c r="F21" i="161" s="1"/>
  <c r="E21" i="161"/>
  <c r="C22" i="161"/>
  <c r="H22" i="161" s="1"/>
  <c r="D22" i="161"/>
  <c r="F22" i="161" s="1"/>
  <c r="E22" i="161"/>
  <c r="C23" i="161"/>
  <c r="H23" i="161" s="1"/>
  <c r="D23" i="161"/>
  <c r="F23" i="161" s="1"/>
  <c r="E23" i="161"/>
  <c r="C24" i="161"/>
  <c r="H24" i="161" s="1"/>
  <c r="D24" i="161"/>
  <c r="G24" i="161" s="1"/>
  <c r="E24" i="161"/>
  <c r="F24" i="161"/>
  <c r="G23" i="161" l="1"/>
  <c r="G22" i="161"/>
  <c r="G21" i="161"/>
</calcChain>
</file>

<file path=xl/sharedStrings.xml><?xml version="1.0" encoding="utf-8"?>
<sst xmlns="http://schemas.openxmlformats.org/spreadsheetml/2006/main" count="55" uniqueCount="50">
  <si>
    <t>Щомісячний платіж</t>
  </si>
  <si>
    <t>Всього</t>
  </si>
  <si>
    <t>Місяць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</si>
  <si>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</si>
  <si>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</si>
  <si>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</si>
  <si>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</si>
  <si>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</si>
  <si>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</si>
  <si>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</si>
  <si>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</si>
  <si>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</si>
  <si>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Код</t>
  </si>
  <si>
    <t>Cash out,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</si>
  <si>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</si>
  <si>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</si>
  <si>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</si>
  <si>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</si>
  <si>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</si>
  <si>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</si>
  <si>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</si>
  <si>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</si>
  <si>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</si>
  <si>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</si>
  <si>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</si>
  <si>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</si>
  <si>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>к-ть днів у місяці</t>
  </si>
  <si>
    <t>Початкова комісія</t>
  </si>
  <si>
    <t>Крок</t>
  </si>
  <si>
    <t>Разовий страховий тариф, %</t>
  </si>
  <si>
    <t>Процентна ставка, % річних</t>
  </si>
  <si>
    <t xml:space="preserve">Щомісячна плата за обслуговування кредитної заборгованості, % </t>
  </si>
  <si>
    <t>Розмір щомісячної плати за обслуговування кредитної заборгованості, грн.</t>
  </si>
  <si>
    <t>Проценти за користування кредитом, грн.</t>
  </si>
  <si>
    <t>Погашення суми кредиту, грн.</t>
  </si>
  <si>
    <t>Сума платежу за розрахунковий період, грн.</t>
  </si>
  <si>
    <t>Орієнтовний порядок повернення кредиту</t>
  </si>
  <si>
    <t>Орієнтовна реальна річна процентна ставка, %</t>
  </si>
  <si>
    <t>Орієнтовні загальні витрати за кредитом, грн.</t>
  </si>
  <si>
    <t>№ з/п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</si>
  <si>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термін кредиту</t>
    </r>
  </si>
  <si>
    <t>Сума кредиту з врахуванням страхівки, грн.</t>
  </si>
  <si>
    <t>Орієнтовна загальна вартість кредиту, грн.</t>
  </si>
  <si>
    <t>Орієнтовний платіж, грн.</t>
  </si>
  <si>
    <t>Термін кредитування (міс.)</t>
  </si>
  <si>
    <r>
      <rPr>
        <b/>
        <sz val="11"/>
        <color rgb="FFFF0000"/>
        <rFont val="Arial Cyr"/>
        <charset val="204"/>
      </rPr>
      <t>!!!</t>
    </r>
    <r>
      <rPr>
        <b/>
        <sz val="11"/>
        <rFont val="Arial Cyr"/>
        <family val="2"/>
        <charset val="204"/>
      </rPr>
      <t xml:space="preserve">Введіть бажану суму кредиту </t>
    </r>
  </si>
  <si>
    <t>Мобільний_для лідогенераторів_24 міс.</t>
  </si>
  <si>
    <t>Мобільний_для лідогенераторів_12 міс.</t>
  </si>
  <si>
    <t>Мобільний_для лідогенераторів_36 міс.</t>
  </si>
  <si>
    <t>Мобільний_для лідогенераторів_60 міс.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</si>
</sst>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_ _-;\-* #,##0.00\ _ _-;_-* &quot;-&quot;??\ _ _-;_-@_-"/>
    <numFmt numFmtId="165" formatCode="#&quot; &quot;##0"/>
    <numFmt numFmtId="166" formatCode="0.0%"/>
    <numFmt numFmtId="167" formatCode="#&quot; &quot;##0.0"/>
    <numFmt numFmtId="168" formatCode="#&quot; &quot;##0.00"/>
    <numFmt numFmtId="169" formatCode="#&quot; &quot;##0.00\ [$грн.-422]"/>
    <numFmt numFmtId="170" formatCode="#&quot; &quot;##0.0\ [$грн.-422]"/>
    <numFmt numFmtId="171" formatCode="0.0"/>
    <numFmt numFmtId="172" formatCode="_-* #&quot; &quot;##0.0\ _ _-;\-* #&quot; &quot;##0.0\ _ _-;_-* &quot;-&quot;??\ _ _-;_-@_-"/>
    <numFmt numFmtId="173" formatCode="#&quot; &quot;##0_ ;\-#&quot; &quot;##0\ "/>
    <numFmt numFmtId="174" formatCode="0.0000%"/>
    <numFmt numFmtId="175" formatCode="0.000000%"/>
    <numFmt numFmtId="176" formatCode="#,##0.00&quot;₴&quot;"/>
    <numFmt numFmtId="177" formatCode="_-* #,##0.00&quot; &quot;_-;\-* #,##0.00&quot; &quot;_-;_-* &quot;-&quot;??&quot; &quot;_-;_-@_-"/>
  </numFmts>
  <fonts count="4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7.5"/>
      <name val="Arial"/>
      <family val="2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sz val="10"/>
      <color indexed="55"/>
      <name val="Arial"/>
      <family val="2"/>
      <charset val="204"/>
    </font>
    <font>
      <b/>
      <sz val="8"/>
      <name val="Arial Cyr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u/>
      <sz val="11"/>
      <color rgb="FFFF0000"/>
      <name val="Arial Narrow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b/>
      <u/>
      <sz val="9"/>
      <name val="Arial"/>
      <family val="2"/>
      <charset val="204"/>
    </font>
    <font>
      <b/>
      <sz val="11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rgb="FFFF0000"/>
      <name val="Arial Cyr"/>
      <charset val="204"/>
    </font>
    <font>
      <b/>
      <sz val="11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fgColor rgb="FFFF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2">
    <xf numFmtId="0" fontId="0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1" fillId="0" borderId="0"/>
  </cellStyleXfs>
  <cellXfs count="192">
    <xf numFmtId="0" fontId="0" fillId="0" borderId="0" xfId="0"/>
    <xf numFmtId="0" fontId="8" fillId="3" borderId="0" xfId="23" applyFont="1" applyFill="1"/>
    <xf numFmtId="0" fontId="4" fillId="3" borderId="0" xfId="23" applyFill="1"/>
    <xf numFmtId="0" fontId="0" fillId="3" borderId="0" xfId="0" applyFill="1"/>
    <xf numFmtId="0" fontId="4" fillId="0" borderId="0" xfId="23"/>
    <xf numFmtId="0" fontId="7" fillId="3" borderId="0" xfId="0" applyFont="1" applyFill="1"/>
    <xf numFmtId="1" fontId="4" fillId="3" borderId="0" xfId="23" applyNumberFormat="1" applyFill="1" applyAlignment="1">
      <alignment vertical="top" wrapText="1"/>
    </xf>
    <xf numFmtId="10" fontId="3" fillId="0" borderId="1" xfId="23" applyNumberFormat="1" applyFont="1" applyBorder="1" applyAlignment="1">
      <alignment horizontal="center"/>
    </xf>
    <xf numFmtId="10" fontId="16" fillId="0" borderId="1" xfId="23" applyNumberFormat="1" applyFont="1" applyBorder="1" applyAlignment="1">
      <alignment horizontal="center"/>
    </xf>
    <xf numFmtId="10" fontId="3" fillId="3" borderId="0" xfId="23" applyNumberFormat="1" applyFont="1" applyFill="1" applyAlignment="1">
      <alignment horizontal="center"/>
    </xf>
    <xf numFmtId="0" fontId="10" fillId="3" borderId="0" xfId="0" applyFont="1" applyFill="1"/>
    <xf numFmtId="0" fontId="17" fillId="3" borderId="0" xfId="23" applyFont="1" applyFill="1" applyAlignment="1">
      <alignment horizontal="center"/>
    </xf>
    <xf numFmtId="0" fontId="8" fillId="0" borderId="0" xfId="23" applyFont="1"/>
    <xf numFmtId="169" fontId="3" fillId="0" borderId="1" xfId="23" applyNumberFormat="1" applyFont="1" applyBorder="1" applyAlignment="1">
      <alignment horizontal="center"/>
    </xf>
    <xf numFmtId="169" fontId="16" fillId="0" borderId="1" xfId="23" applyNumberFormat="1" applyFont="1" applyBorder="1" applyAlignment="1">
      <alignment horizontal="center"/>
    </xf>
    <xf numFmtId="0" fontId="7" fillId="3" borderId="0" xfId="0" applyFont="1" applyFill="1" applyAlignment="1">
      <alignment horizontal="left"/>
    </xf>
    <xf numFmtId="169" fontId="3" fillId="3" borderId="0" xfId="23" applyNumberFormat="1" applyFont="1" applyFill="1" applyAlignment="1">
      <alignment horizontal="center"/>
    </xf>
    <xf numFmtId="0" fontId="19" fillId="3" borderId="0" xfId="23" applyFont="1" applyFill="1"/>
    <xf numFmtId="0" fontId="18" fillId="3" borderId="0" xfId="23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169" fontId="3" fillId="3" borderId="2" xfId="23" applyNumberFormat="1" applyFont="1" applyFill="1" applyBorder="1"/>
    <xf numFmtId="166" fontId="3" fillId="0" borderId="1" xfId="23" applyNumberFormat="1" applyFont="1" applyBorder="1" applyAlignment="1">
      <alignment horizontal="center"/>
    </xf>
    <xf numFmtId="170" fontId="20" fillId="0" borderId="1" xfId="23" applyNumberFormat="1" applyFont="1" applyBorder="1" applyAlignment="1">
      <alignment horizontal="center"/>
    </xf>
    <xf numFmtId="169" fontId="20" fillId="0" borderId="1" xfId="23" applyNumberFormat="1" applyFont="1" applyBorder="1" applyAlignment="1">
      <alignment horizontal="center"/>
    </xf>
    <xf numFmtId="0" fontId="11" fillId="3" borderId="0" xfId="0" applyFont="1" applyFill="1"/>
    <xf numFmtId="165" fontId="12" fillId="3" borderId="0" xfId="23" applyNumberFormat="1" applyFont="1" applyFill="1"/>
    <xf numFmtId="0" fontId="12" fillId="3" borderId="0" xfId="23" applyFont="1" applyFill="1"/>
    <xf numFmtId="0" fontId="6" fillId="3" borderId="0" xfId="23" applyFont="1" applyFill="1" applyAlignment="1">
      <alignment horizontal="right"/>
    </xf>
    <xf numFmtId="10" fontId="6" fillId="3" borderId="0" xfId="23" applyNumberFormat="1" applyFont="1" applyFill="1"/>
    <xf numFmtId="0" fontId="3" fillId="3" borderId="0" xfId="23" applyFont="1" applyFill="1" applyAlignment="1">
      <alignment horizontal="right"/>
    </xf>
    <xf numFmtId="9" fontId="3" fillId="3" borderId="0" xfId="23" applyNumberFormat="1" applyFont="1" applyFill="1" applyAlignment="1">
      <alignment horizontal="left"/>
    </xf>
    <xf numFmtId="9" fontId="4" fillId="3" borderId="0" xfId="23" applyNumberFormat="1" applyFill="1" applyAlignment="1">
      <alignment horizontal="left"/>
    </xf>
    <xf numFmtId="10" fontId="3" fillId="3" borderId="1" xfId="23" applyNumberFormat="1" applyFont="1" applyFill="1" applyBorder="1" applyAlignment="1">
      <alignment horizontal="center"/>
    </xf>
    <xf numFmtId="9" fontId="3" fillId="0" borderId="0" xfId="23" applyNumberFormat="1" applyFont="1" applyAlignment="1">
      <alignment horizontal="left"/>
    </xf>
    <xf numFmtId="9" fontId="4" fillId="0" borderId="0" xfId="23" applyNumberFormat="1" applyAlignment="1">
      <alignment horizontal="left"/>
    </xf>
    <xf numFmtId="0" fontId="16" fillId="3" borderId="0" xfId="23" applyFont="1" applyFill="1" applyAlignment="1">
      <alignment horizontal="center"/>
    </xf>
    <xf numFmtId="0" fontId="3" fillId="3" borderId="0" xfId="23" applyFont="1" applyFill="1"/>
    <xf numFmtId="10" fontId="3" fillId="3" borderId="0" xfId="46" applyNumberFormat="1" applyFont="1" applyFill="1" applyAlignment="1" applyProtection="1">
      <alignment horizontal="center" vertical="top" wrapText="1"/>
    </xf>
    <xf numFmtId="169" fontId="4" fillId="0" borderId="3" xfId="23" applyNumberFormat="1" applyBorder="1" applyAlignment="1">
      <alignment horizontal="center"/>
    </xf>
    <xf numFmtId="169" fontId="4" fillId="0" borderId="4" xfId="23" applyNumberFormat="1" applyBorder="1" applyAlignment="1">
      <alignment horizontal="center"/>
    </xf>
    <xf numFmtId="9" fontId="16" fillId="3" borderId="0" xfId="23" applyNumberFormat="1" applyFont="1" applyFill="1" applyAlignment="1">
      <alignment horizontal="center"/>
    </xf>
    <xf numFmtId="0" fontId="16" fillId="0" borderId="0" xfId="23" applyFont="1" applyAlignment="1">
      <alignment horizontal="center"/>
    </xf>
    <xf numFmtId="0" fontId="22" fillId="3" borderId="0" xfId="0" applyFont="1" applyFill="1"/>
    <xf numFmtId="0" fontId="23" fillId="3" borderId="0" xfId="0" applyFont="1" applyFill="1"/>
    <xf numFmtId="0" fontId="24" fillId="0" borderId="0" xfId="23" applyFont="1"/>
    <xf numFmtId="0" fontId="24" fillId="3" borderId="0" xfId="23" applyFont="1" applyFill="1"/>
    <xf numFmtId="0" fontId="26" fillId="0" borderId="0" xfId="23" applyFont="1"/>
    <xf numFmtId="0" fontId="7" fillId="0" borderId="0" xfId="0" applyFont="1" applyAlignment="1">
      <alignment horizontal="left"/>
    </xf>
    <xf numFmtId="0" fontId="26" fillId="3" borderId="0" xfId="23" applyFont="1" applyFill="1"/>
    <xf numFmtId="0" fontId="8" fillId="4" borderId="0" xfId="23" applyFont="1" applyFill="1"/>
    <xf numFmtId="0" fontId="4" fillId="4" borderId="0" xfId="23" applyFill="1"/>
    <xf numFmtId="0" fontId="3" fillId="4" borderId="0" xfId="23" applyFont="1" applyFill="1"/>
    <xf numFmtId="0" fontId="0" fillId="4" borderId="0" xfId="0" applyFill="1"/>
    <xf numFmtId="173" fontId="3" fillId="3" borderId="1" xfId="47" applyNumberFormat="1" applyFont="1" applyFill="1" applyBorder="1" applyAlignment="1" applyProtection="1">
      <alignment horizontal="center"/>
    </xf>
    <xf numFmtId="0" fontId="20" fillId="0" borderId="0" xfId="23" applyFont="1"/>
    <xf numFmtId="166" fontId="4" fillId="0" borderId="3" xfId="24" applyNumberFormat="1" applyFont="1" applyFill="1" applyBorder="1" applyAlignment="1" applyProtection="1">
      <alignment horizontal="center"/>
    </xf>
    <xf numFmtId="166" fontId="4" fillId="0" borderId="4" xfId="24" applyNumberFormat="1" applyFont="1" applyFill="1" applyBorder="1" applyAlignment="1" applyProtection="1">
      <alignment horizontal="center"/>
    </xf>
    <xf numFmtId="171" fontId="28" fillId="3" borderId="0" xfId="23" applyNumberFormat="1" applyFont="1" applyFill="1" applyAlignment="1">
      <alignment horizontal="center" vertical="center"/>
    </xf>
    <xf numFmtId="171" fontId="3" fillId="0" borderId="1" xfId="23" applyNumberFormat="1" applyFont="1" applyBorder="1" applyAlignment="1">
      <alignment horizontal="center"/>
    </xf>
    <xf numFmtId="171" fontId="16" fillId="0" borderId="1" xfId="23" applyNumberFormat="1" applyFont="1" applyBorder="1" applyAlignment="1">
      <alignment horizontal="center"/>
    </xf>
    <xf numFmtId="1" fontId="15" fillId="0" borderId="6" xfId="23" applyNumberFormat="1" applyFont="1" applyBorder="1" applyAlignment="1" applyProtection="1">
      <alignment horizontal="center" vertical="top" wrapText="1"/>
      <protection locked="0"/>
    </xf>
    <xf numFmtId="1" fontId="3" fillId="0" borderId="6" xfId="23" applyNumberFormat="1" applyFont="1" applyBorder="1" applyAlignment="1">
      <alignment horizontal="center" vertical="center"/>
    </xf>
    <xf numFmtId="0" fontId="7" fillId="0" borderId="0" xfId="0" applyFont="1"/>
    <xf numFmtId="1" fontId="4" fillId="0" borderId="0" xfId="23" applyNumberFormat="1" applyAlignment="1">
      <alignment vertical="top" wrapText="1"/>
    </xf>
    <xf numFmtId="0" fontId="3" fillId="0" borderId="0" xfId="23" applyFont="1"/>
    <xf numFmtId="0" fontId="7" fillId="0" borderId="2" xfId="0" applyFont="1" applyBorder="1" applyAlignment="1">
      <alignment horizontal="left"/>
    </xf>
    <xf numFmtId="10" fontId="3" fillId="0" borderId="0" xfId="23" applyNumberFormat="1" applyFont="1" applyAlignment="1">
      <alignment horizontal="center"/>
    </xf>
    <xf numFmtId="10" fontId="3" fillId="0" borderId="0" xfId="46" applyNumberFormat="1" applyFont="1" applyFill="1" applyAlignment="1" applyProtection="1">
      <alignment horizontal="center" vertical="top" wrapText="1"/>
    </xf>
    <xf numFmtId="173" fontId="3" fillId="0" borderId="1" xfId="47" applyNumberFormat="1" applyFont="1" applyFill="1" applyBorder="1" applyAlignment="1" applyProtection="1">
      <alignment horizontal="center"/>
    </xf>
    <xf numFmtId="0" fontId="10" fillId="0" borderId="0" xfId="0" applyFont="1"/>
    <xf numFmtId="1" fontId="27" fillId="0" borderId="0" xfId="23" applyNumberFormat="1" applyFont="1" applyAlignment="1">
      <alignment vertical="top" wrapText="1"/>
    </xf>
    <xf numFmtId="0" fontId="17" fillId="0" borderId="0" xfId="23" applyFont="1" applyAlignment="1">
      <alignment horizontal="center"/>
    </xf>
    <xf numFmtId="165" fontId="27" fillId="0" borderId="0" xfId="23" applyNumberFormat="1" applyFont="1"/>
    <xf numFmtId="169" fontId="3" fillId="0" borderId="0" xfId="23" applyNumberFormat="1" applyFont="1" applyAlignment="1">
      <alignment horizontal="center"/>
    </xf>
    <xf numFmtId="0" fontId="19" fillId="0" borderId="0" xfId="23" applyFont="1"/>
    <xf numFmtId="0" fontId="18" fillId="0" borderId="0" xfId="23" applyFont="1" applyAlignment="1">
      <alignment horizontal="center"/>
    </xf>
    <xf numFmtId="169" fontId="3" fillId="0" borderId="2" xfId="23" applyNumberFormat="1" applyFont="1" applyBorder="1"/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0" fontId="16" fillId="0" borderId="1" xfId="23" applyNumberFormat="1" applyFont="1" applyBorder="1" applyAlignment="1">
      <alignment horizontal="center" vertical="center" wrapText="1"/>
    </xf>
    <xf numFmtId="165" fontId="4" fillId="0" borderId="0" xfId="23" applyNumberFormat="1"/>
    <xf numFmtId="0" fontId="11" fillId="0" borderId="0" xfId="0" applyFont="1"/>
    <xf numFmtId="165" fontId="12" fillId="0" borderId="0" xfId="23" applyNumberFormat="1" applyFont="1"/>
    <xf numFmtId="0" fontId="12" fillId="0" borderId="0" xfId="23" applyFont="1"/>
    <xf numFmtId="165" fontId="16" fillId="0" borderId="7" xfId="23" applyNumberFormat="1" applyFont="1" applyBorder="1" applyAlignment="1">
      <alignment horizontal="center" vertical="center" wrapText="1"/>
    </xf>
    <xf numFmtId="0" fontId="6" fillId="0" borderId="0" xfId="23" applyFont="1" applyAlignment="1">
      <alignment horizontal="right"/>
    </xf>
    <xf numFmtId="10" fontId="6" fillId="0" borderId="0" xfId="23" applyNumberFormat="1" applyFont="1"/>
    <xf numFmtId="0" fontId="3" fillId="0" borderId="0" xfId="23" applyFont="1" applyAlignment="1">
      <alignment horizontal="right"/>
    </xf>
    <xf numFmtId="9" fontId="16" fillId="0" borderId="0" xfId="23" applyNumberFormat="1" applyFont="1" applyAlignment="1">
      <alignment horizontal="center"/>
    </xf>
    <xf numFmtId="0" fontId="29" fillId="4" borderId="0" xfId="23" applyFont="1" applyFill="1" applyAlignment="1">
      <alignment horizontal="center"/>
    </xf>
    <xf numFmtId="10" fontId="30" fillId="3" borderId="0" xfId="23" applyNumberFormat="1" applyFont="1" applyFill="1" applyAlignment="1">
      <alignment horizontal="center"/>
    </xf>
    <xf numFmtId="0" fontId="8" fillId="3" borderId="8" xfId="23" applyFont="1" applyFill="1" applyBorder="1"/>
    <xf numFmtId="0" fontId="4" fillId="3" borderId="9" xfId="23" applyFill="1" applyBorder="1"/>
    <xf numFmtId="4" fontId="4" fillId="3" borderId="10" xfId="23" applyNumberFormat="1" applyFill="1" applyBorder="1"/>
    <xf numFmtId="0" fontId="32" fillId="3" borderId="0" xfId="0" applyFont="1" applyFill="1"/>
    <xf numFmtId="165" fontId="16" fillId="5" borderId="7" xfId="23" applyNumberFormat="1" applyFont="1" applyFill="1" applyBorder="1" applyAlignment="1">
      <alignment horizontal="center" vertical="center" wrapText="1"/>
    </xf>
    <xf numFmtId="0" fontId="33" fillId="3" borderId="0" xfId="23" applyFont="1" applyFill="1"/>
    <xf numFmtId="0" fontId="4" fillId="7" borderId="0" xfId="23" applyFill="1"/>
    <xf numFmtId="0" fontId="8" fillId="7" borderId="0" xfId="23" applyFont="1" applyFill="1"/>
    <xf numFmtId="0" fontId="27" fillId="4" borderId="0" xfId="23" applyFont="1" applyFill="1"/>
    <xf numFmtId="0" fontId="31" fillId="0" borderId="0" xfId="23" applyFont="1"/>
    <xf numFmtId="0" fontId="4" fillId="0" borderId="24" xfId="23" applyBorder="1" applyAlignment="1">
      <alignment horizontal="center"/>
    </xf>
    <xf numFmtId="0" fontId="4" fillId="0" borderId="20" xfId="23" applyBorder="1" applyAlignment="1">
      <alignment horizontal="center"/>
    </xf>
    <xf numFmtId="0" fontId="35" fillId="3" borderId="0" xfId="0" applyFont="1" applyFill="1"/>
    <xf numFmtId="14" fontId="4" fillId="0" borderId="1" xfId="23" applyNumberFormat="1" applyBorder="1" applyAlignment="1">
      <alignment horizontal="center"/>
    </xf>
    <xf numFmtId="176" fontId="8" fillId="3" borderId="0" xfId="23" applyNumberFormat="1" applyFont="1" applyFill="1"/>
    <xf numFmtId="0" fontId="36" fillId="4" borderId="0" xfId="0" applyFont="1" applyFill="1"/>
    <xf numFmtId="0" fontId="16" fillId="4" borderId="0" xfId="23" applyFont="1" applyFill="1" applyAlignment="1">
      <alignment horizontal="center"/>
    </xf>
    <xf numFmtId="0" fontId="31" fillId="4" borderId="0" xfId="23" applyFont="1" applyFill="1"/>
    <xf numFmtId="0" fontId="31" fillId="4" borderId="0" xfId="23" applyFont="1" applyFill="1" applyAlignment="1">
      <alignment horizontal="right"/>
    </xf>
    <xf numFmtId="0" fontId="0" fillId="0" borderId="0" xfId="0" applyProtection="1">
      <protection hidden="1"/>
    </xf>
    <xf numFmtId="10" fontId="0" fillId="0" borderId="0" xfId="24" applyNumberFormat="1" applyFont="1" applyProtection="1">
      <protection hidden="1"/>
    </xf>
    <xf numFmtId="172" fontId="0" fillId="0" borderId="0" xfId="47" applyNumberFormat="1" applyFont="1" applyProtection="1">
      <protection hidden="1"/>
    </xf>
    <xf numFmtId="0" fontId="0" fillId="8" borderId="0" xfId="0" applyFill="1" applyProtection="1">
      <protection hidden="1"/>
    </xf>
    <xf numFmtId="1" fontId="27" fillId="4" borderId="0" xfId="23" applyNumberFormat="1" applyFont="1" applyFill="1" applyAlignment="1">
      <alignment vertical="top" wrapText="1"/>
    </xf>
    <xf numFmtId="165" fontId="27" fillId="4" borderId="0" xfId="23" applyNumberFormat="1" applyFont="1" applyFill="1"/>
    <xf numFmtId="14" fontId="37" fillId="3" borderId="0" xfId="23" applyNumberFormat="1" applyFont="1" applyFill="1" applyAlignment="1">
      <alignment horizontal="center"/>
    </xf>
    <xf numFmtId="0" fontId="0" fillId="10" borderId="1" xfId="0" applyFill="1" applyBorder="1" applyProtection="1">
      <protection hidden="1"/>
    </xf>
    <xf numFmtId="10" fontId="0" fillId="10" borderId="1" xfId="24" applyNumberFormat="1" applyFont="1" applyFill="1" applyBorder="1" applyProtection="1">
      <protection hidden="1"/>
    </xf>
    <xf numFmtId="4" fontId="2" fillId="10" borderId="1" xfId="2" applyNumberFormat="1" applyFill="1" applyBorder="1" applyAlignment="1" applyProtection="1">
      <alignment horizontal="center"/>
      <protection hidden="1"/>
    </xf>
    <xf numFmtId="174" fontId="2" fillId="10" borderId="1" xfId="49" applyNumberFormat="1" applyFont="1" applyFill="1" applyBorder="1" applyAlignment="1">
      <alignment horizontal="center"/>
    </xf>
    <xf numFmtId="175" fontId="2" fillId="10" borderId="1" xfId="24" applyNumberFormat="1" applyFont="1" applyFill="1" applyBorder="1" applyAlignment="1" applyProtection="1">
      <alignment horizontal="right"/>
      <protection hidden="1"/>
    </xf>
    <xf numFmtId="165" fontId="16" fillId="5" borderId="21" xfId="23" applyNumberFormat="1" applyFont="1" applyFill="1" applyBorder="1" applyAlignment="1">
      <alignment horizontal="center" vertical="center" wrapText="1"/>
    </xf>
    <xf numFmtId="14" fontId="26" fillId="3" borderId="0" xfId="23" applyNumberFormat="1" applyFont="1" applyFill="1"/>
    <xf numFmtId="1" fontId="3" fillId="3" borderId="0" xfId="23" applyNumberFormat="1" applyFont="1" applyFill="1" applyAlignment="1">
      <alignment horizontal="center" vertical="center"/>
    </xf>
    <xf numFmtId="166" fontId="3" fillId="0" borderId="0" xfId="23" applyNumberFormat="1" applyFont="1" applyAlignment="1">
      <alignment horizontal="center"/>
    </xf>
    <xf numFmtId="10" fontId="16" fillId="0" borderId="0" xfId="23" applyNumberFormat="1" applyFont="1" applyAlignment="1">
      <alignment horizontal="center"/>
    </xf>
    <xf numFmtId="0" fontId="4" fillId="0" borderId="27" xfId="23" applyBorder="1" applyAlignment="1">
      <alignment horizontal="center"/>
    </xf>
    <xf numFmtId="14" fontId="4" fillId="0" borderId="14" xfId="23" applyNumberFormat="1" applyBorder="1" applyAlignment="1">
      <alignment horizontal="center"/>
    </xf>
    <xf numFmtId="2" fontId="4" fillId="0" borderId="1" xfId="23" applyNumberFormat="1" applyBorder="1" applyAlignment="1">
      <alignment horizontal="center"/>
    </xf>
    <xf numFmtId="167" fontId="4" fillId="0" borderId="1" xfId="23" applyNumberFormat="1" applyBorder="1" applyAlignment="1">
      <alignment horizontal="center"/>
    </xf>
    <xf numFmtId="167" fontId="4" fillId="0" borderId="14" xfId="23" applyNumberFormat="1" applyBorder="1" applyAlignment="1">
      <alignment horizontal="center"/>
    </xf>
    <xf numFmtId="0" fontId="4" fillId="9" borderId="0" xfId="23" applyFill="1"/>
    <xf numFmtId="168" fontId="9" fillId="2" borderId="6" xfId="23" applyNumberFormat="1" applyFont="1" applyFill="1" applyBorder="1" applyAlignment="1">
      <alignment horizontal="center" vertical="center"/>
    </xf>
    <xf numFmtId="1" fontId="39" fillId="11" borderId="1" xfId="23" applyNumberFormat="1" applyFont="1" applyFill="1" applyBorder="1" applyAlignment="1" applyProtection="1">
      <alignment horizontal="center" vertical="top" wrapText="1"/>
      <protection locked="0"/>
    </xf>
    <xf numFmtId="10" fontId="3" fillId="0" borderId="28" xfId="23" applyNumberFormat="1" applyFont="1" applyBorder="1"/>
    <xf numFmtId="10" fontId="3" fillId="0" borderId="0" xfId="23" applyNumberFormat="1" applyFont="1"/>
    <xf numFmtId="14" fontId="4" fillId="0" borderId="25" xfId="23" applyNumberFormat="1" applyBorder="1" applyAlignment="1">
      <alignment horizontal="center"/>
    </xf>
    <xf numFmtId="14" fontId="4" fillId="0" borderId="13" xfId="23" applyNumberFormat="1" applyBorder="1" applyAlignment="1">
      <alignment horizontal="center"/>
    </xf>
    <xf numFmtId="167" fontId="4" fillId="0" borderId="11" xfId="23" applyNumberFormat="1" applyBorder="1" applyAlignment="1">
      <alignment horizontal="center"/>
    </xf>
    <xf numFmtId="167" fontId="4" fillId="0" borderId="4" xfId="23" applyNumberFormat="1" applyBorder="1" applyAlignment="1">
      <alignment horizontal="center"/>
    </xf>
    <xf numFmtId="0" fontId="9" fillId="2" borderId="21" xfId="23" applyFont="1" applyFill="1" applyBorder="1" applyAlignment="1">
      <alignment horizontal="left" vertical="center"/>
    </xf>
    <xf numFmtId="0" fontId="9" fillId="2" borderId="23" xfId="23" applyFont="1" applyFill="1" applyBorder="1" applyAlignment="1">
      <alignment horizontal="left" vertical="center"/>
    </xf>
    <xf numFmtId="168" fontId="9" fillId="2" borderId="21" xfId="23" applyNumberFormat="1" applyFont="1" applyFill="1" applyBorder="1" applyAlignment="1">
      <alignment horizontal="center" vertical="center"/>
    </xf>
    <xf numFmtId="168" fontId="9" fillId="2" borderId="23" xfId="23" applyNumberFormat="1" applyFont="1" applyFill="1" applyBorder="1" applyAlignment="1">
      <alignment horizontal="center" vertical="center"/>
    </xf>
    <xf numFmtId="166" fontId="4" fillId="3" borderId="0" xfId="46" applyNumberFormat="1" applyFont="1" applyFill="1" applyAlignment="1" applyProtection="1">
      <alignment horizontal="left"/>
    </xf>
    <xf numFmtId="4" fontId="16" fillId="0" borderId="1" xfId="23" applyNumberFormat="1" applyFont="1" applyBorder="1" applyAlignment="1">
      <alignment horizontal="center"/>
    </xf>
    <xf numFmtId="4" fontId="16" fillId="0" borderId="14" xfId="23" applyNumberFormat="1" applyFont="1" applyBorder="1" applyAlignment="1">
      <alignment horizontal="center"/>
    </xf>
    <xf numFmtId="0" fontId="7" fillId="2" borderId="1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10" fontId="16" fillId="0" borderId="0" xfId="23" applyNumberFormat="1" applyFont="1" applyAlignment="1">
      <alignment horizontal="center"/>
    </xf>
    <xf numFmtId="0" fontId="13" fillId="5" borderId="21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165" fontId="16" fillId="5" borderId="21" xfId="23" applyNumberFormat="1" applyFont="1" applyFill="1" applyBorder="1" applyAlignment="1">
      <alignment horizontal="center" vertical="center" wrapText="1"/>
    </xf>
    <xf numFmtId="165" fontId="16" fillId="5" borderId="23" xfId="23" applyNumberFormat="1" applyFont="1" applyFill="1" applyBorder="1" applyAlignment="1">
      <alignment horizontal="center" vertical="center" wrapText="1"/>
    </xf>
    <xf numFmtId="4" fontId="29" fillId="3" borderId="9" xfId="23" applyNumberFormat="1" applyFont="1" applyFill="1" applyBorder="1" applyAlignment="1">
      <alignment horizontal="center"/>
    </xf>
    <xf numFmtId="4" fontId="29" fillId="3" borderId="17" xfId="23" applyNumberFormat="1" applyFont="1" applyFill="1" applyBorder="1" applyAlignment="1">
      <alignment horizontal="center"/>
    </xf>
    <xf numFmtId="0" fontId="7" fillId="6" borderId="13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8" fillId="0" borderId="28" xfId="23" applyFont="1" applyBorder="1" applyAlignment="1">
      <alignment horizontal="center"/>
    </xf>
    <xf numFmtId="0" fontId="8" fillId="0" borderId="0" xfId="23" applyFont="1" applyAlignment="1">
      <alignment horizontal="center"/>
    </xf>
    <xf numFmtId="171" fontId="16" fillId="0" borderId="0" xfId="23" applyNumberFormat="1" applyFont="1" applyAlignment="1">
      <alignment horizontal="center"/>
    </xf>
    <xf numFmtId="0" fontId="3" fillId="9" borderId="5" xfId="23" applyFont="1" applyFill="1" applyBorder="1" applyAlignment="1">
      <alignment horizontal="center"/>
    </xf>
    <xf numFmtId="0" fontId="16" fillId="5" borderId="8" xfId="23" applyFont="1" applyFill="1" applyBorder="1" applyAlignment="1" applyProtection="1">
      <alignment horizontal="center" vertical="center"/>
      <protection locked="0"/>
    </xf>
    <xf numFmtId="0" fontId="16" fillId="5" borderId="17" xfId="23" applyFont="1" applyFill="1" applyBorder="1" applyAlignment="1" applyProtection="1">
      <alignment horizontal="center" vertical="center"/>
      <protection locked="0"/>
    </xf>
    <xf numFmtId="10" fontId="34" fillId="4" borderId="0" xfId="23" applyNumberFormat="1" applyFont="1" applyFill="1" applyAlignment="1">
      <alignment horizontal="center" vertical="center" wrapText="1"/>
    </xf>
    <xf numFmtId="10" fontId="21" fillId="5" borderId="18" xfId="23" applyNumberFormat="1" applyFont="1" applyFill="1" applyBorder="1" applyAlignment="1">
      <alignment horizontal="center" vertical="center"/>
    </xf>
    <xf numFmtId="10" fontId="21" fillId="5" borderId="19" xfId="23" applyNumberFormat="1" applyFont="1" applyFill="1" applyBorder="1" applyAlignment="1">
      <alignment horizontal="center" vertical="center"/>
    </xf>
    <xf numFmtId="0" fontId="41" fillId="9" borderId="21" xfId="0" applyFont="1" applyFill="1" applyBorder="1" applyAlignment="1">
      <alignment horizontal="center" vertical="center"/>
    </xf>
    <xf numFmtId="0" fontId="38" fillId="9" borderId="22" xfId="0" applyFont="1" applyFill="1" applyBorder="1" applyAlignment="1">
      <alignment horizontal="center" vertical="center"/>
    </xf>
    <xf numFmtId="0" fontId="38" fillId="9" borderId="26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5" fillId="0" borderId="1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7" fillId="0" borderId="12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166" fontId="4" fillId="0" borderId="0" xfId="46" applyNumberFormat="1" applyFont="1" applyFill="1" applyAlignment="1" applyProtection="1">
      <alignment horizontal="left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165" fontId="16" fillId="0" borderId="21" xfId="23" applyNumberFormat="1" applyFont="1" applyBorder="1" applyAlignment="1">
      <alignment horizontal="center" vertical="center" wrapText="1"/>
    </xf>
    <xf numFmtId="165" fontId="16" fillId="0" borderId="23" xfId="23" applyNumberFormat="1" applyFont="1" applyBorder="1" applyAlignment="1">
      <alignment horizontal="center" vertical="center" wrapText="1"/>
    </xf>
    <xf numFmtId="165" fontId="16" fillId="0" borderId="20" xfId="23" applyNumberFormat="1" applyFont="1" applyBorder="1" applyAlignment="1">
      <alignment horizontal="center" vertical="center" wrapText="1"/>
    </xf>
    <xf numFmtId="165" fontId="16" fillId="0" borderId="16" xfId="23" applyNumberFormat="1" applyFont="1" applyBorder="1" applyAlignment="1">
      <alignment horizontal="center" vertical="center" wrapText="1"/>
    </xf>
  </cellXfs>
  <cellStyles count="52">
    <cellStyle name="Відсотковий" xfId="24" builtinId="5"/>
    <cellStyle name="Денежный 2" xfId="50" xr:uid="{00000000-0005-0000-0000-000000000000}"/>
    <cellStyle name="Звичайний" xfId="0" builtinId="0"/>
    <cellStyle name="Обычный 17" xfId="1" xr:uid="{00000000-0005-0000-0000-000002000000}"/>
    <cellStyle name="Обычный 2" xfId="2" xr:uid="{00000000-0005-0000-0000-000003000000}"/>
    <cellStyle name="Обычный 2 10" xfId="3" xr:uid="{00000000-0005-0000-0000-000004000000}"/>
    <cellStyle name="Обычный 2 11" xfId="4" xr:uid="{00000000-0005-0000-0000-000005000000}"/>
    <cellStyle name="Обычный 2 12" xfId="5" xr:uid="{00000000-0005-0000-0000-000006000000}"/>
    <cellStyle name="Обычный 2 13" xfId="6" xr:uid="{00000000-0005-0000-0000-000007000000}"/>
    <cellStyle name="Обычный 2 14" xfId="7" xr:uid="{00000000-0005-0000-0000-000008000000}"/>
    <cellStyle name="Обычный 2 15" xfId="8" xr:uid="{00000000-0005-0000-0000-000009000000}"/>
    <cellStyle name="Обычный 2 16" xfId="9" xr:uid="{00000000-0005-0000-0000-00000A000000}"/>
    <cellStyle name="Обычный 2 17" xfId="10" xr:uid="{00000000-0005-0000-0000-00000B000000}"/>
    <cellStyle name="Обычный 2 18" xfId="11" xr:uid="{00000000-0005-0000-0000-00000C000000}"/>
    <cellStyle name="Обычный 2 19" xfId="12" xr:uid="{00000000-0005-0000-0000-00000D000000}"/>
    <cellStyle name="Обычный 2 2" xfId="13" xr:uid="{00000000-0005-0000-0000-00000E000000}"/>
    <cellStyle name="Обычный 2 20" xfId="14" xr:uid="{00000000-0005-0000-0000-00000F000000}"/>
    <cellStyle name="Обычный 2 21" xfId="15" xr:uid="{00000000-0005-0000-0000-000010000000}"/>
    <cellStyle name="Обычный 2 3" xfId="16" xr:uid="{00000000-0005-0000-0000-000011000000}"/>
    <cellStyle name="Обычный 2 4" xfId="17" xr:uid="{00000000-0005-0000-0000-000012000000}"/>
    <cellStyle name="Обычный 2 5" xfId="18" xr:uid="{00000000-0005-0000-0000-000013000000}"/>
    <cellStyle name="Обычный 2 6" xfId="19" xr:uid="{00000000-0005-0000-0000-000014000000}"/>
    <cellStyle name="Обычный 2 7" xfId="20" xr:uid="{00000000-0005-0000-0000-000015000000}"/>
    <cellStyle name="Обычный 2 8" xfId="21" xr:uid="{00000000-0005-0000-0000-000016000000}"/>
    <cellStyle name="Обычный 2 9" xfId="22" xr:uid="{00000000-0005-0000-0000-000017000000}"/>
    <cellStyle name="Обычный 3" xfId="51" xr:uid="{00000000-0005-0000-0000-000018000000}"/>
    <cellStyle name="Обычный_Nedootrumani_dohodu" xfId="23" xr:uid="{00000000-0005-0000-0000-000019000000}"/>
    <cellStyle name="Процентный 2" xfId="25" xr:uid="{00000000-0005-0000-0000-00001B000000}"/>
    <cellStyle name="Процентный 2 10" xfId="26" xr:uid="{00000000-0005-0000-0000-00001C000000}"/>
    <cellStyle name="Процентный 2 11" xfId="27" xr:uid="{00000000-0005-0000-0000-00001D000000}"/>
    <cellStyle name="Процентный 2 12" xfId="28" xr:uid="{00000000-0005-0000-0000-00001E000000}"/>
    <cellStyle name="Процентный 2 13" xfId="29" xr:uid="{00000000-0005-0000-0000-00001F000000}"/>
    <cellStyle name="Процентный 2 14" xfId="30" xr:uid="{00000000-0005-0000-0000-000020000000}"/>
    <cellStyle name="Процентный 2 15" xfId="31" xr:uid="{00000000-0005-0000-0000-000021000000}"/>
    <cellStyle name="Процентный 2 16" xfId="32" xr:uid="{00000000-0005-0000-0000-000022000000}"/>
    <cellStyle name="Процентный 2 17" xfId="33" xr:uid="{00000000-0005-0000-0000-000023000000}"/>
    <cellStyle name="Процентный 2 18" xfId="34" xr:uid="{00000000-0005-0000-0000-000024000000}"/>
    <cellStyle name="Процентный 2 19" xfId="35" xr:uid="{00000000-0005-0000-0000-000025000000}"/>
    <cellStyle name="Процентный 2 2" xfId="36" xr:uid="{00000000-0005-0000-0000-000026000000}"/>
    <cellStyle name="Процентный 2 20" xfId="37" xr:uid="{00000000-0005-0000-0000-000027000000}"/>
    <cellStyle name="Процентный 2 21" xfId="38" xr:uid="{00000000-0005-0000-0000-000028000000}"/>
    <cellStyle name="Процентный 2 3" xfId="39" xr:uid="{00000000-0005-0000-0000-000029000000}"/>
    <cellStyle name="Процентный 2 4" xfId="40" xr:uid="{00000000-0005-0000-0000-00002A000000}"/>
    <cellStyle name="Процентный 2 5" xfId="41" xr:uid="{00000000-0005-0000-0000-00002B000000}"/>
    <cellStyle name="Процентный 2 6" xfId="42" xr:uid="{00000000-0005-0000-0000-00002C000000}"/>
    <cellStyle name="Процентный 2 7" xfId="43" xr:uid="{00000000-0005-0000-0000-00002D000000}"/>
    <cellStyle name="Процентный 2 8" xfId="44" xr:uid="{00000000-0005-0000-0000-00002E000000}"/>
    <cellStyle name="Процентный 2 9" xfId="45" xr:uid="{00000000-0005-0000-0000-00002F000000}"/>
    <cellStyle name="Процентный 3" xfId="46" xr:uid="{00000000-0005-0000-0000-000030000000}"/>
    <cellStyle name="Процентный 3 2" xfId="49" xr:uid="{00000000-0005-0000-0000-000031000000}"/>
    <cellStyle name="Финансовый 2" xfId="48" xr:uid="{00000000-0005-0000-0000-000033000000}"/>
    <cellStyle name="Фінансовий" xfId="4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3</xdr:col>
      <xdr:colOff>285750</xdr:colOff>
      <xdr:row>3</xdr:row>
      <xdr:rowOff>76200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200" y="38100"/>
          <a:ext cx="19335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0">
    <tabColor rgb="FF00B050"/>
    <pageSetUpPr fitToPage="1"/>
  </sheetPr>
  <dimension ref="A1:AC96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Col="1" x14ac:dyDescent="0.2"/>
  <cols>
    <col min="1" max="1" width="2.42578125" style="12" customWidth="1"/>
    <col min="2" max="2" width="9" style="4" customWidth="1"/>
    <col min="3" max="3" width="14.42578125" style="4" customWidth="1"/>
    <col min="4" max="4" width="19.5703125" style="4" bestFit="1" customWidth="1"/>
    <col min="5" max="5" width="25.7109375" style="4" bestFit="1" customWidth="1"/>
    <col min="6" max="6" width="20.7109375" style="4" bestFit="1" customWidth="1"/>
    <col min="7" max="7" width="14.42578125" style="41" customWidth="1"/>
    <col min="8" max="8" width="11.42578125" style="36" customWidth="1"/>
    <col min="9" max="9" width="21.42578125" customWidth="1"/>
    <col min="10" max="10" width="4.7109375" style="3" hidden="1" customWidth="1"/>
    <col min="11" max="11" width="15.5703125" style="4" hidden="1" customWidth="1" outlineLevel="1"/>
    <col min="12" max="12" width="25.7109375" style="4" hidden="1" customWidth="1" outlineLevel="1"/>
    <col min="13" max="13" width="9.140625" style="97" collapsed="1"/>
    <col min="14" max="29" width="9.140625" style="97"/>
    <col min="30" max="16384" width="9.140625" style="4"/>
  </cols>
  <sheetData>
    <row r="1" spans="1:29" ht="19.899999999999999" customHeight="1" thickBot="1" x14ac:dyDescent="0.25">
      <c r="A1" s="49"/>
      <c r="B1" s="50"/>
      <c r="C1" s="50"/>
      <c r="D1" s="50"/>
      <c r="E1" s="99"/>
      <c r="F1" s="99"/>
      <c r="G1" s="89"/>
      <c r="H1" s="165" t="s">
        <v>40</v>
      </c>
      <c r="I1" s="165"/>
    </row>
    <row r="2" spans="1:29" ht="12.75" customHeight="1" x14ac:dyDescent="0.2">
      <c r="A2" s="2"/>
      <c r="B2" s="50"/>
      <c r="C2" s="50"/>
      <c r="D2" s="50"/>
      <c r="E2" s="108">
        <f>VLOOKUP('Мобільний_для лідогенераторів'!H2,Лист2!A:N,14,FALSE)</f>
        <v>5000</v>
      </c>
      <c r="F2" s="100">
        <f>VLOOKUP(H$2,Лист2!$A:$G,2,0)</f>
        <v>500000</v>
      </c>
      <c r="G2" s="116">
        <f ca="1">TODAY()</f>
        <v>45912</v>
      </c>
      <c r="H2" s="166" t="s">
        <v>46</v>
      </c>
      <c r="I2" s="167"/>
      <c r="J2" s="42"/>
      <c r="M2" s="132"/>
      <c r="N2" s="132"/>
    </row>
    <row r="3" spans="1:29" ht="13.5" customHeight="1" thickBot="1" x14ac:dyDescent="0.25">
      <c r="A3" s="2"/>
      <c r="B3" s="50"/>
      <c r="C3" s="50"/>
      <c r="D3" s="50"/>
      <c r="E3" s="109">
        <f>IF(F5&lt;E2,"x",IF(F5&gt;F2,"y",F5))</f>
        <v>100000</v>
      </c>
      <c r="F3" s="168" t="str">
        <f>IF(E3="x","Збільшіть суму",IF(E3="y","Зменшіть суму",""))</f>
        <v/>
      </c>
      <c r="G3" s="57">
        <f>Назви!B33</f>
        <v>30.4</v>
      </c>
      <c r="H3" s="169" t="str">
        <f>VLOOKUP(H$2,Лист2!$A:$G,7,0)</f>
        <v>max. 500000 грн.</v>
      </c>
      <c r="I3" s="170"/>
      <c r="J3" s="42"/>
    </row>
    <row r="4" spans="1:29" ht="9" customHeight="1" thickBot="1" x14ac:dyDescent="0.25">
      <c r="A4" s="2"/>
      <c r="B4" s="2"/>
      <c r="C4" s="2"/>
      <c r="D4" s="2"/>
      <c r="E4" s="108"/>
      <c r="F4" s="168"/>
      <c r="G4" s="35"/>
      <c r="H4" s="124"/>
      <c r="I4" s="42"/>
      <c r="J4" s="42"/>
      <c r="K4" s="54"/>
    </row>
    <row r="5" spans="1:29" ht="21" customHeight="1" thickBot="1" x14ac:dyDescent="0.25">
      <c r="A5" s="1"/>
      <c r="B5" s="171" t="s">
        <v>45</v>
      </c>
      <c r="C5" s="172"/>
      <c r="D5" s="172"/>
      <c r="E5" s="173"/>
      <c r="F5" s="134">
        <v>100000</v>
      </c>
      <c r="G5" s="135" t="s">
        <v>23</v>
      </c>
      <c r="H5" s="136"/>
      <c r="I5" s="3"/>
      <c r="J5" s="43"/>
      <c r="K5" s="54"/>
    </row>
    <row r="6" spans="1:29" ht="7.5" customHeight="1" x14ac:dyDescent="0.2">
      <c r="A6" s="1"/>
      <c r="B6" s="5"/>
      <c r="C6" s="2"/>
      <c r="D6" s="5"/>
      <c r="E6" s="2"/>
      <c r="F6" s="6"/>
      <c r="G6" s="36"/>
      <c r="H6" s="35"/>
      <c r="I6" s="2"/>
      <c r="J6" s="44"/>
      <c r="K6" s="54"/>
    </row>
    <row r="7" spans="1:29" ht="13.9" hidden="1" customHeight="1" x14ac:dyDescent="0.2">
      <c r="A7" s="1"/>
      <c r="B7" s="159" t="s">
        <v>41</v>
      </c>
      <c r="C7" s="160"/>
      <c r="D7" s="160"/>
      <c r="E7" s="161"/>
      <c r="F7" s="13">
        <f>D89</f>
        <v>99999.999999999985</v>
      </c>
      <c r="G7" s="36"/>
      <c r="H7" s="35"/>
      <c r="I7" s="2"/>
      <c r="J7" s="44"/>
      <c r="K7" s="54"/>
    </row>
    <row r="8" spans="1:29" ht="7.5" customHeight="1" x14ac:dyDescent="0.2">
      <c r="A8" s="1"/>
      <c r="B8" s="5"/>
      <c r="C8" s="2"/>
      <c r="D8" s="5"/>
      <c r="E8" s="2"/>
      <c r="F8" s="6"/>
      <c r="G8" s="36"/>
      <c r="H8" s="35"/>
      <c r="I8" s="2"/>
      <c r="J8" s="44"/>
      <c r="K8" s="54"/>
    </row>
    <row r="9" spans="1:29" x14ac:dyDescent="0.2">
      <c r="A9" s="1"/>
      <c r="B9" s="159" t="str">
        <f>Назви!A3</f>
        <v>Процентна ставка, % річних</v>
      </c>
      <c r="C9" s="160">
        <f>Назви!B3</f>
        <v>0</v>
      </c>
      <c r="D9" s="160">
        <f>Назви!C3</f>
        <v>0</v>
      </c>
      <c r="E9" s="161">
        <f>Назви!D3</f>
        <v>0</v>
      </c>
      <c r="F9" s="32">
        <f>VLOOKUP(H$2,Лист2!$A:$G,4,0)</f>
        <v>0.9</v>
      </c>
      <c r="G9" s="151"/>
      <c r="H9" s="151"/>
      <c r="I9" s="3"/>
      <c r="J9" s="43"/>
      <c r="K9" s="54"/>
    </row>
    <row r="10" spans="1:29" ht="6.75" customHeight="1" x14ac:dyDescent="0.2">
      <c r="A10" s="1"/>
      <c r="B10" s="5"/>
      <c r="C10" s="2"/>
      <c r="D10" s="5"/>
      <c r="E10" s="2"/>
      <c r="F10" s="90">
        <v>1.0000000000000001E-5</v>
      </c>
      <c r="G10" s="36"/>
      <c r="H10" s="35"/>
      <c r="I10" s="2"/>
      <c r="J10" s="44"/>
      <c r="K10" s="54"/>
    </row>
    <row r="11" spans="1:29" ht="12.6" customHeight="1" x14ac:dyDescent="0.2">
      <c r="A11" s="1"/>
      <c r="B11" s="159" t="str">
        <f>Назви!A5</f>
        <v>Разовий страховий тариф, %</v>
      </c>
      <c r="C11" s="160">
        <f>Назви!B5</f>
        <v>0</v>
      </c>
      <c r="D11" s="160">
        <f>Назви!C5</f>
        <v>0</v>
      </c>
      <c r="E11" s="161">
        <f>Назви!D5</f>
        <v>0</v>
      </c>
      <c r="F11" s="32">
        <f>VLOOKUP(H$2,Лист2!$A:$G,5,0)</f>
        <v>0</v>
      </c>
      <c r="G11" s="151"/>
      <c r="H11" s="151"/>
      <c r="I11" s="3"/>
      <c r="J11" s="43"/>
      <c r="K11" s="113"/>
    </row>
    <row r="12" spans="1:29" ht="6.6" customHeight="1" x14ac:dyDescent="0.2">
      <c r="A12" s="1"/>
      <c r="B12" s="5"/>
      <c r="C12" s="2"/>
      <c r="D12" s="5"/>
      <c r="E12" s="2"/>
      <c r="F12" s="37"/>
      <c r="G12" s="36"/>
      <c r="H12" s="35"/>
      <c r="I12" s="2"/>
      <c r="J12" s="44"/>
      <c r="K12" s="113"/>
    </row>
    <row r="13" spans="1:29" x14ac:dyDescent="0.2">
      <c r="A13" s="1"/>
      <c r="B13" s="159" t="str">
        <f>Назви!A7</f>
        <v xml:space="preserve">Щомісячна плата за обслуговування кредитної заборгованості, % </v>
      </c>
      <c r="C13" s="160">
        <f>Назви!B7</f>
        <v>0</v>
      </c>
      <c r="D13" s="160">
        <f>Назви!C7</f>
        <v>0</v>
      </c>
      <c r="E13" s="161">
        <f>Назви!D7</f>
        <v>0</v>
      </c>
      <c r="F13" s="32">
        <f>VLOOKUP(H$2,Лист2!$A:$G,6,0)</f>
        <v>0</v>
      </c>
      <c r="G13" s="151"/>
      <c r="H13" s="151"/>
      <c r="I13" s="3"/>
      <c r="J13" s="43"/>
      <c r="K13" s="113" t="str">
        <f>Лист2!A4</f>
        <v>Мобільний_для лідогенераторів_60 міс.</v>
      </c>
    </row>
    <row r="14" spans="1:29" ht="6.75" customHeight="1" x14ac:dyDescent="0.2">
      <c r="A14" s="1"/>
      <c r="B14" s="5"/>
      <c r="C14" s="2"/>
      <c r="D14" s="5"/>
      <c r="E14" s="2"/>
      <c r="F14" s="9"/>
      <c r="G14" s="36"/>
      <c r="H14" s="35"/>
      <c r="I14" s="2"/>
      <c r="J14" s="44"/>
      <c r="K14" s="113" t="str">
        <f>Лист2!A5</f>
        <v>Мобільний_для лідогенераторів_36 міс.</v>
      </c>
    </row>
    <row r="15" spans="1:29" x14ac:dyDescent="0.2">
      <c r="A15" s="1"/>
      <c r="B15" s="159" t="str">
        <f>Назви!A9</f>
        <v>Термін кредитування (міс.)</v>
      </c>
      <c r="C15" s="160">
        <f>Назви!B9</f>
        <v>0</v>
      </c>
      <c r="D15" s="160">
        <f>Назви!C9</f>
        <v>0</v>
      </c>
      <c r="E15" s="161">
        <f>Назви!D9</f>
        <v>0</v>
      </c>
      <c r="F15" s="53">
        <f>VLOOKUP(H$2,Лист2!$A:$G,3,0)</f>
        <v>24</v>
      </c>
      <c r="G15" s="151"/>
      <c r="H15" s="151"/>
      <c r="I15" s="3"/>
      <c r="J15" s="43"/>
      <c r="K15" s="113" t="str">
        <f>Лист2!A6</f>
        <v>Мобільний_для лідогенераторів_24 міс.</v>
      </c>
    </row>
    <row r="16" spans="1:29" s="12" customFormat="1" ht="7.9" customHeight="1" x14ac:dyDescent="0.2">
      <c r="A16" s="1"/>
      <c r="B16" s="10"/>
      <c r="C16" s="48"/>
      <c r="D16" s="94"/>
      <c r="E16" s="114">
        <f>F5*F11</f>
        <v>0</v>
      </c>
      <c r="F16" s="50"/>
      <c r="G16" s="96"/>
      <c r="H16" s="11"/>
      <c r="I16" s="1"/>
      <c r="J16" s="44"/>
      <c r="K16" s="113" t="str">
        <f>Лист2!A7</f>
        <v>Мобільний_для лідогенераторів_12 міс.</v>
      </c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</row>
    <row r="17" spans="1:29" s="12" customFormat="1" ht="11.25" customHeight="1" x14ac:dyDescent="0.2">
      <c r="A17" s="1"/>
      <c r="B17" s="10"/>
      <c r="C17" s="48"/>
      <c r="D17" s="94"/>
      <c r="E17" s="115">
        <f>E16+E3</f>
        <v>100000</v>
      </c>
      <c r="F17" s="50"/>
      <c r="G17" s="96"/>
      <c r="H17" s="11"/>
      <c r="I17" s="1"/>
      <c r="J17" s="99"/>
      <c r="K17" s="113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</row>
    <row r="18" spans="1:29" s="12" customFormat="1" x14ac:dyDescent="0.2">
      <c r="A18" s="1"/>
      <c r="B18" s="148" t="str">
        <f>Назви!A12</f>
        <v>Орієнтовний платіж, грн.</v>
      </c>
      <c r="C18" s="149">
        <f>Назви!B12</f>
        <v>0</v>
      </c>
      <c r="D18" s="149">
        <f>Назви!C12</f>
        <v>0</v>
      </c>
      <c r="E18" s="150">
        <f>Назви!D12</f>
        <v>0</v>
      </c>
      <c r="F18" s="13">
        <f>PMT(F9/12,F15,-E17)+F13*E17</f>
        <v>9105.0079472215548</v>
      </c>
      <c r="G18" s="162"/>
      <c r="H18" s="163"/>
      <c r="I18" s="105"/>
      <c r="J18" s="44"/>
      <c r="K18" s="113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pans="1:29" s="12" customFormat="1" ht="7.15" customHeight="1" x14ac:dyDescent="0.2">
      <c r="A19" s="1"/>
      <c r="B19" s="15"/>
      <c r="C19" s="15"/>
      <c r="D19" s="15"/>
      <c r="E19" s="15"/>
      <c r="F19" s="16"/>
      <c r="G19" s="17"/>
      <c r="H19" s="18"/>
      <c r="I19" s="1"/>
      <c r="J19" s="45"/>
      <c r="K19" s="113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pans="1:29" s="12" customFormat="1" x14ac:dyDescent="0.2">
      <c r="A20" s="1"/>
      <c r="B20" s="148" t="str">
        <f>Назви!A14</f>
        <v>Орієнтовні загальні витрати за кредитом, грн.</v>
      </c>
      <c r="C20" s="149">
        <f>Назви!B14</f>
        <v>0</v>
      </c>
      <c r="D20" s="149">
        <f>Назви!C14</f>
        <v>0</v>
      </c>
      <c r="E20" s="150">
        <f>Назви!D14</f>
        <v>0</v>
      </c>
      <c r="F20" s="13">
        <f>G89-E3</f>
        <v>118520.19073331726</v>
      </c>
      <c r="G20" s="164"/>
      <c r="H20" s="164"/>
      <c r="I20" s="1"/>
      <c r="J20" s="45"/>
      <c r="K20" s="113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1:29" s="12" customFormat="1" ht="7.15" customHeight="1" x14ac:dyDescent="0.2">
      <c r="A21" s="1"/>
      <c r="B21" s="19"/>
      <c r="C21" s="19"/>
      <c r="D21" s="19"/>
      <c r="E21" s="19"/>
      <c r="F21" s="20"/>
      <c r="G21" s="17"/>
      <c r="H21" s="18"/>
      <c r="I21" s="1"/>
      <c r="J21" s="45"/>
      <c r="K21" s="113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1:29" s="12" customFormat="1" x14ac:dyDescent="0.2">
      <c r="A22" s="1"/>
      <c r="B22" s="148" t="str">
        <f>Назви!A16</f>
        <v>Орієнтовна загальна вартість кредиту, грн.</v>
      </c>
      <c r="C22" s="149">
        <f>Назви!B16</f>
        <v>0</v>
      </c>
      <c r="D22" s="149">
        <f>Назви!C16</f>
        <v>0</v>
      </c>
      <c r="E22" s="150">
        <f>Назви!D16</f>
        <v>0</v>
      </c>
      <c r="F22" s="13">
        <f>E3+F20</f>
        <v>218520.19073331726</v>
      </c>
      <c r="G22" s="151"/>
      <c r="H22" s="151"/>
      <c r="I22" s="1"/>
      <c r="J22" s="45"/>
      <c r="K22" s="113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s="12" customFormat="1" ht="7.15" customHeight="1" x14ac:dyDescent="0.2">
      <c r="A23" s="1"/>
      <c r="B23" s="15"/>
      <c r="C23" s="15"/>
      <c r="D23" s="15"/>
      <c r="E23" s="15"/>
      <c r="F23" s="9"/>
      <c r="G23" s="17"/>
      <c r="H23" s="18"/>
      <c r="I23" s="1"/>
      <c r="J23" s="1"/>
      <c r="K23" s="113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</row>
    <row r="24" spans="1:29" s="12" customFormat="1" x14ac:dyDescent="0.2">
      <c r="A24" s="1"/>
      <c r="B24" s="148" t="str">
        <f>Назви!A18</f>
        <v>Орієнтовна реальна річна процентна ставка, %</v>
      </c>
      <c r="C24" s="149"/>
      <c r="D24" s="149"/>
      <c r="E24" s="150"/>
      <c r="F24" s="32">
        <f ca="1">XIRR(G28:G88,C28:C88)</f>
        <v>1.3847023129463196</v>
      </c>
      <c r="G24" s="17"/>
      <c r="H24" s="18"/>
      <c r="I24" s="1"/>
      <c r="J24" s="1"/>
      <c r="K24" s="113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s="12" customFormat="1" ht="13.5" thickBot="1" x14ac:dyDescent="0.25">
      <c r="A25" s="1"/>
      <c r="B25" s="24"/>
      <c r="C25" s="15"/>
      <c r="D25" s="103"/>
      <c r="E25" s="25"/>
      <c r="F25" s="26"/>
      <c r="G25" s="18"/>
      <c r="H25" s="17"/>
      <c r="I25" s="1"/>
      <c r="J25" s="1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</row>
    <row r="26" spans="1:29" ht="18.75" thickBot="1" x14ac:dyDescent="0.25">
      <c r="A26" s="1"/>
      <c r="B26" s="152" t="str">
        <f>Назви!A27</f>
        <v>Орієнтовний порядок повернення кредиту</v>
      </c>
      <c r="C26" s="153"/>
      <c r="D26" s="153"/>
      <c r="E26" s="153"/>
      <c r="F26" s="153"/>
      <c r="G26" s="153"/>
      <c r="H26" s="154"/>
      <c r="I26" s="3"/>
      <c r="K26" s="113"/>
    </row>
    <row r="27" spans="1:29" ht="31.15" customHeight="1" thickBot="1" x14ac:dyDescent="0.25">
      <c r="A27" s="1"/>
      <c r="B27" s="122" t="s">
        <v>39</v>
      </c>
      <c r="C27" s="122" t="str">
        <f>Назви!A28</f>
        <v>Місяць</v>
      </c>
      <c r="D27" s="95" t="str">
        <f>Назви!C28</f>
        <v>Погашення суми кредиту, грн.</v>
      </c>
      <c r="E27" s="95" t="str">
        <f>Назви!D28</f>
        <v>Розмір щомісячної плати за обслуговування кредитної заборгованості, грн.</v>
      </c>
      <c r="F27" s="95" t="str">
        <f>Назви!E28</f>
        <v>Проценти за користування кредитом, грн.</v>
      </c>
      <c r="G27" s="155" t="str">
        <f>Назви!F28</f>
        <v>Сума платежу за розрахунковий період, грн.</v>
      </c>
      <c r="H27" s="156"/>
      <c r="I27" s="3"/>
      <c r="K27" s="113"/>
    </row>
    <row r="28" spans="1:29" ht="12.6" hidden="1" customHeight="1" thickBot="1" x14ac:dyDescent="0.25">
      <c r="A28" s="1"/>
      <c r="B28" s="91">
        <v>0</v>
      </c>
      <c r="C28" s="123">
        <f ca="1">TODAY()</f>
        <v>45912</v>
      </c>
      <c r="D28" s="92"/>
      <c r="E28" s="93"/>
      <c r="F28" s="92"/>
      <c r="G28" s="157">
        <f>-1*E3</f>
        <v>-100000</v>
      </c>
      <c r="H28" s="158"/>
      <c r="I28" s="3"/>
      <c r="K28" s="113"/>
    </row>
    <row r="29" spans="1:29" x14ac:dyDescent="0.2">
      <c r="A29" s="1">
        <v>1</v>
      </c>
      <c r="B29" s="102">
        <v>1</v>
      </c>
      <c r="C29" s="137">
        <f ca="1">DATE(YEAR(C28),MONTH(C28)+1,DAY(C28))</f>
        <v>45942</v>
      </c>
      <c r="D29" s="129">
        <f>IFERROR(PPMT($F$9/12,B29,$F$15,-$E$3),0)</f>
        <v>1605.0079472215555</v>
      </c>
      <c r="E29" s="139">
        <f>IF(B29&lt;=$F$15,(E$17*(VLOOKUP($H$2,Лист2!$A:$N,12,0)-(B29-1)*VLOOKUP($H$2,Лист2!$A:$N,13,0))),0)</f>
        <v>0</v>
      </c>
      <c r="F29" s="130">
        <f>IFERROR(IPMT($F$9/12,B29,$F$15,-$E$3),0)</f>
        <v>7500</v>
      </c>
      <c r="G29" s="146">
        <f>SUM(D29:F29)</f>
        <v>9105.0079472215548</v>
      </c>
      <c r="H29" s="146"/>
      <c r="I29" s="3"/>
      <c r="K29" s="113"/>
    </row>
    <row r="30" spans="1:29" x14ac:dyDescent="0.2">
      <c r="A30" s="1">
        <v>2</v>
      </c>
      <c r="B30" s="101">
        <v>2</v>
      </c>
      <c r="C30" s="138">
        <f t="shared" ref="C30:C88" ca="1" si="0">DATE(YEAR(C29),MONTH(C29)+1,DAY(C29))</f>
        <v>45973</v>
      </c>
      <c r="D30" s="129">
        <f t="shared" ref="D30:D88" si="1">IFERROR(PPMT($F$9/12,B30,$F$15,-$E$3),0)</f>
        <v>1725.3835432631718</v>
      </c>
      <c r="E30" s="140">
        <f>IF(B30&lt;=$F$15,(E$17*(VLOOKUP($H$2,Лист2!$A:$N,12,0)-(B30-1)*VLOOKUP($H$2,Лист2!$A:$N,13,0))),0)</f>
        <v>0</v>
      </c>
      <c r="F30" s="130">
        <f t="shared" ref="F30:F88" si="2">IFERROR(IPMT($F$9/12,B30,$F$15,-$E$3),0)</f>
        <v>7379.6244039583826</v>
      </c>
      <c r="G30" s="146">
        <f t="shared" ref="G30:G88" si="3">SUM(D30:F30)</f>
        <v>9105.0079472215548</v>
      </c>
      <c r="H30" s="146"/>
      <c r="I30" s="3"/>
      <c r="K30" s="113"/>
    </row>
    <row r="31" spans="1:29" x14ac:dyDescent="0.2">
      <c r="A31" s="1">
        <v>3</v>
      </c>
      <c r="B31" s="101">
        <v>3</v>
      </c>
      <c r="C31" s="138">
        <f t="shared" ca="1" si="0"/>
        <v>46003</v>
      </c>
      <c r="D31" s="129">
        <f t="shared" si="1"/>
        <v>1854.7873090079097</v>
      </c>
      <c r="E31" s="140">
        <f>IF(B31&lt;=$F$15,(E$17*(VLOOKUP($H$2,Лист2!$A:$N,12,0)-(B31-1)*VLOOKUP($H$2,Лист2!$A:$N,13,0))),0)</f>
        <v>0</v>
      </c>
      <c r="F31" s="130">
        <f t="shared" si="2"/>
        <v>7250.2206382136455</v>
      </c>
      <c r="G31" s="146">
        <f t="shared" si="3"/>
        <v>9105.0079472215548</v>
      </c>
      <c r="H31" s="146"/>
      <c r="I31" s="3"/>
      <c r="K31" s="113"/>
    </row>
    <row r="32" spans="1:29" x14ac:dyDescent="0.2">
      <c r="A32" s="1">
        <v>4</v>
      </c>
      <c r="B32" s="101">
        <v>4</v>
      </c>
      <c r="C32" s="138">
        <f t="shared" ca="1" si="0"/>
        <v>46034</v>
      </c>
      <c r="D32" s="129">
        <f t="shared" si="1"/>
        <v>1993.8963571835029</v>
      </c>
      <c r="E32" s="140">
        <f>IF(B32&lt;=$F$15,(E$17*(VLOOKUP($H$2,Лист2!$A:$N,12,0)-(B32-1)*VLOOKUP($H$2,Лист2!$A:$N,13,0))),0)</f>
        <v>0</v>
      </c>
      <c r="F32" s="130">
        <f t="shared" si="2"/>
        <v>7111.1115900380519</v>
      </c>
      <c r="G32" s="146">
        <f t="shared" si="3"/>
        <v>9105.0079472215548</v>
      </c>
      <c r="H32" s="146"/>
      <c r="I32" s="3"/>
      <c r="K32" s="113"/>
    </row>
    <row r="33" spans="1:11" x14ac:dyDescent="0.2">
      <c r="A33" s="1">
        <v>5</v>
      </c>
      <c r="B33" s="101">
        <v>5</v>
      </c>
      <c r="C33" s="138">
        <f t="shared" ca="1" si="0"/>
        <v>46065</v>
      </c>
      <c r="D33" s="129">
        <f t="shared" si="1"/>
        <v>2143.4385839722659</v>
      </c>
      <c r="E33" s="140">
        <f>IF(B33&lt;=$F$15,(E$17*(VLOOKUP($H$2,Лист2!$A:$N,12,0)-(B33-1)*VLOOKUP($H$2,Лист2!$A:$N,13,0))),0)</f>
        <v>0</v>
      </c>
      <c r="F33" s="130">
        <f t="shared" si="2"/>
        <v>6961.5693632492885</v>
      </c>
      <c r="G33" s="146">
        <f t="shared" si="3"/>
        <v>9105.0079472215548</v>
      </c>
      <c r="H33" s="146"/>
      <c r="I33" s="3"/>
      <c r="K33" s="113"/>
    </row>
    <row r="34" spans="1:11" x14ac:dyDescent="0.2">
      <c r="A34" s="1">
        <v>6</v>
      </c>
      <c r="B34" s="101">
        <v>6</v>
      </c>
      <c r="C34" s="138">
        <f t="shared" ca="1" si="0"/>
        <v>46093</v>
      </c>
      <c r="D34" s="129">
        <f t="shared" si="1"/>
        <v>2304.1964777701855</v>
      </c>
      <c r="E34" s="140">
        <f>IF(B34&lt;=$F$15,(E$17*(VLOOKUP($H$2,Лист2!$A:$N,12,0)-(B34-1)*VLOOKUP($H$2,Лист2!$A:$N,13,0))),0)</f>
        <v>0</v>
      </c>
      <c r="F34" s="130">
        <f t="shared" si="2"/>
        <v>6800.8114694513688</v>
      </c>
      <c r="G34" s="146">
        <f t="shared" si="3"/>
        <v>9105.0079472215548</v>
      </c>
      <c r="H34" s="146"/>
      <c r="I34" s="3"/>
      <c r="K34" s="113"/>
    </row>
    <row r="35" spans="1:11" x14ac:dyDescent="0.2">
      <c r="A35" s="1">
        <v>7</v>
      </c>
      <c r="B35" s="101">
        <v>7</v>
      </c>
      <c r="C35" s="138">
        <f t="shared" ca="1" si="0"/>
        <v>46124</v>
      </c>
      <c r="D35" s="129">
        <f t="shared" si="1"/>
        <v>2477.0112136029497</v>
      </c>
      <c r="E35" s="140">
        <f>IF(B35&lt;=$F$15,(E$17*(VLOOKUP($H$2,Лист2!$A:$N,12,0)-(B35-1)*VLOOKUP($H$2,Лист2!$A:$N,13,0))),0)</f>
        <v>0</v>
      </c>
      <c r="F35" s="130">
        <f t="shared" si="2"/>
        <v>6627.9967336186055</v>
      </c>
      <c r="G35" s="146">
        <f t="shared" si="3"/>
        <v>9105.0079472215548</v>
      </c>
      <c r="H35" s="146"/>
      <c r="I35" s="3"/>
      <c r="K35" s="113"/>
    </row>
    <row r="36" spans="1:11" x14ac:dyDescent="0.2">
      <c r="A36" s="1">
        <v>8</v>
      </c>
      <c r="B36" s="101">
        <v>8</v>
      </c>
      <c r="C36" s="138">
        <f t="shared" ca="1" si="0"/>
        <v>46154</v>
      </c>
      <c r="D36" s="129">
        <f t="shared" si="1"/>
        <v>2662.7870546231711</v>
      </c>
      <c r="E36" s="140">
        <f>IF(B36&lt;=$F$15,(E$17*(VLOOKUP($H$2,Лист2!$A:$N,12,0)-(B36-1)*VLOOKUP($H$2,Лист2!$A:$N,13,0))),0)</f>
        <v>0</v>
      </c>
      <c r="F36" s="130">
        <f t="shared" si="2"/>
        <v>6442.2208925983841</v>
      </c>
      <c r="G36" s="146">
        <f t="shared" si="3"/>
        <v>9105.0079472215548</v>
      </c>
      <c r="H36" s="146"/>
      <c r="I36" s="3"/>
      <c r="K36" s="113"/>
    </row>
    <row r="37" spans="1:11" x14ac:dyDescent="0.2">
      <c r="A37" s="1">
        <v>9</v>
      </c>
      <c r="B37" s="101">
        <v>9</v>
      </c>
      <c r="C37" s="138">
        <f t="shared" ca="1" si="0"/>
        <v>46185</v>
      </c>
      <c r="D37" s="129">
        <f t="shared" si="1"/>
        <v>2862.4960837199092</v>
      </c>
      <c r="E37" s="140">
        <f>IF(B37&lt;=$F$15,(E$17*(VLOOKUP($H$2,Лист2!$A:$N,12,0)-(B37-1)*VLOOKUP($H$2,Лист2!$A:$N,13,0))),0)</f>
        <v>0</v>
      </c>
      <c r="F37" s="130">
        <f t="shared" si="2"/>
        <v>6242.5118635016461</v>
      </c>
      <c r="G37" s="146">
        <f t="shared" si="3"/>
        <v>9105.0079472215548</v>
      </c>
      <c r="H37" s="146"/>
      <c r="I37" s="3"/>
      <c r="K37" s="113"/>
    </row>
    <row r="38" spans="1:11" x14ac:dyDescent="0.2">
      <c r="A38" s="1">
        <v>10</v>
      </c>
      <c r="B38" s="101">
        <v>10</v>
      </c>
      <c r="C38" s="138">
        <f t="shared" ca="1" si="0"/>
        <v>46215</v>
      </c>
      <c r="D38" s="129">
        <f t="shared" si="1"/>
        <v>3077.1832899989017</v>
      </c>
      <c r="E38" s="140">
        <f>IF(B38&lt;=$F$15,(E$17*(VLOOKUP($H$2,Лист2!$A:$N,12,0)-(B38-1)*VLOOKUP($H$2,Лист2!$A:$N,13,0))),0)</f>
        <v>0</v>
      </c>
      <c r="F38" s="130">
        <f t="shared" si="2"/>
        <v>6027.8246572226526</v>
      </c>
      <c r="G38" s="146">
        <f t="shared" si="3"/>
        <v>9105.0079472215548</v>
      </c>
      <c r="H38" s="146"/>
      <c r="I38" s="3"/>
      <c r="K38" s="113"/>
    </row>
    <row r="39" spans="1:11" x14ac:dyDescent="0.2">
      <c r="A39" s="1">
        <v>22</v>
      </c>
      <c r="B39" s="101">
        <v>11</v>
      </c>
      <c r="C39" s="138">
        <f t="shared" ca="1" si="0"/>
        <v>46246</v>
      </c>
      <c r="D39" s="129">
        <f t="shared" si="1"/>
        <v>3307.9720367488194</v>
      </c>
      <c r="E39" s="140">
        <f>IF(B39&lt;=$F$15,(E$17*(VLOOKUP($H$2,Лист2!$A:$N,12,0)-(B39-1)*VLOOKUP($H$2,Лист2!$A:$N,13,0))),0)</f>
        <v>0</v>
      </c>
      <c r="F39" s="130">
        <f t="shared" si="2"/>
        <v>5797.0359104727349</v>
      </c>
      <c r="G39" s="146">
        <f t="shared" si="3"/>
        <v>9105.0079472215548</v>
      </c>
      <c r="H39" s="146"/>
      <c r="I39" s="3"/>
      <c r="K39" s="113"/>
    </row>
    <row r="40" spans="1:11" x14ac:dyDescent="0.2">
      <c r="A40" s="1">
        <v>22</v>
      </c>
      <c r="B40" s="101">
        <v>12</v>
      </c>
      <c r="C40" s="138">
        <f t="shared" ca="1" si="0"/>
        <v>46277</v>
      </c>
      <c r="D40" s="129">
        <f t="shared" si="1"/>
        <v>3556.0699395049814</v>
      </c>
      <c r="E40" s="140">
        <f>IF(B40&lt;=$F$15,(E$17*(VLOOKUP($H$2,Лист2!$A:$N,12,0)-(B40-1)*VLOOKUP($H$2,Лист2!$A:$N,13,0))),0)</f>
        <v>0</v>
      </c>
      <c r="F40" s="130">
        <f t="shared" si="2"/>
        <v>5548.9380077165742</v>
      </c>
      <c r="G40" s="146">
        <f t="shared" si="3"/>
        <v>9105.0079472215548</v>
      </c>
      <c r="H40" s="146"/>
      <c r="I40" s="3"/>
    </row>
    <row r="41" spans="1:11" x14ac:dyDescent="0.2">
      <c r="A41" s="1">
        <v>13</v>
      </c>
      <c r="B41" s="101">
        <v>13</v>
      </c>
      <c r="C41" s="138">
        <f t="shared" ca="1" si="0"/>
        <v>46307</v>
      </c>
      <c r="D41" s="129">
        <f t="shared" si="1"/>
        <v>3822.7751849678543</v>
      </c>
      <c r="E41" s="140">
        <f>IF(B41&lt;=$F$15,(E$17*(VLOOKUP($H$2,Лист2!$A:$N,12,0)-(B41-1)*VLOOKUP($H$2,Лист2!$A:$N,13,0))),0)</f>
        <v>0</v>
      </c>
      <c r="F41" s="130">
        <f t="shared" si="2"/>
        <v>5282.2327622537005</v>
      </c>
      <c r="G41" s="146">
        <f t="shared" si="3"/>
        <v>9105.0079472215548</v>
      </c>
      <c r="H41" s="146"/>
      <c r="I41" s="3"/>
    </row>
    <row r="42" spans="1:11" x14ac:dyDescent="0.2">
      <c r="A42" s="1">
        <v>14</v>
      </c>
      <c r="B42" s="101">
        <v>14</v>
      </c>
      <c r="C42" s="138">
        <f t="shared" ca="1" si="0"/>
        <v>46338</v>
      </c>
      <c r="D42" s="129">
        <f t="shared" si="1"/>
        <v>4109.4833238404435</v>
      </c>
      <c r="E42" s="140">
        <f>IF(B42&lt;=$F$15,(E$17*(VLOOKUP($H$2,Лист2!$A:$N,12,0)-(B42-1)*VLOOKUP($H$2,Лист2!$A:$N,13,0))),0)</f>
        <v>0</v>
      </c>
      <c r="F42" s="130">
        <f t="shared" si="2"/>
        <v>4995.5246233811113</v>
      </c>
      <c r="G42" s="146">
        <f t="shared" si="3"/>
        <v>9105.0079472215548</v>
      </c>
      <c r="H42" s="146"/>
      <c r="I42" s="3"/>
    </row>
    <row r="43" spans="1:11" x14ac:dyDescent="0.2">
      <c r="A43" s="1">
        <v>15</v>
      </c>
      <c r="B43" s="101">
        <v>15</v>
      </c>
      <c r="C43" s="138">
        <f t="shared" ca="1" si="0"/>
        <v>46368</v>
      </c>
      <c r="D43" s="129">
        <f t="shared" si="1"/>
        <v>4417.6945731284768</v>
      </c>
      <c r="E43" s="140">
        <f>IF(B43&lt;=$F$15,(E$17*(VLOOKUP($H$2,Лист2!$A:$N,12,0)-(B43-1)*VLOOKUP($H$2,Лист2!$A:$N,13,0))),0)</f>
        <v>0</v>
      </c>
      <c r="F43" s="130">
        <f t="shared" si="2"/>
        <v>4687.313374093078</v>
      </c>
      <c r="G43" s="146">
        <f t="shared" si="3"/>
        <v>9105.0079472215548</v>
      </c>
      <c r="H43" s="146"/>
      <c r="I43" s="3"/>
    </row>
    <row r="44" spans="1:11" x14ac:dyDescent="0.2">
      <c r="A44" s="1">
        <v>16</v>
      </c>
      <c r="B44" s="101">
        <v>16</v>
      </c>
      <c r="C44" s="138">
        <f t="shared" ca="1" si="0"/>
        <v>46399</v>
      </c>
      <c r="D44" s="129">
        <f t="shared" si="1"/>
        <v>4749.0216661131126</v>
      </c>
      <c r="E44" s="140">
        <f>IF(B44&lt;=$F$15,(E$17*(VLOOKUP($H$2,Лист2!$A:$N,12,0)-(B44-1)*VLOOKUP($H$2,Лист2!$A:$N,13,0))),0)</f>
        <v>0</v>
      </c>
      <c r="F44" s="130">
        <f t="shared" si="2"/>
        <v>4355.9862811084422</v>
      </c>
      <c r="G44" s="146">
        <f t="shared" si="3"/>
        <v>9105.0079472215548</v>
      </c>
      <c r="H44" s="146"/>
      <c r="I44" s="3"/>
    </row>
    <row r="45" spans="1:11" x14ac:dyDescent="0.2">
      <c r="A45" s="1">
        <v>22</v>
      </c>
      <c r="B45" s="101">
        <v>17</v>
      </c>
      <c r="C45" s="138">
        <f t="shared" ca="1" si="0"/>
        <v>46430</v>
      </c>
      <c r="D45" s="129">
        <f t="shared" si="1"/>
        <v>5105.198291071596</v>
      </c>
      <c r="E45" s="140">
        <f>IF(B45&lt;=$F$15,(E$17*(VLOOKUP($H$2,Лист2!$A:$N,12,0)-(B45-1)*VLOOKUP($H$2,Лист2!$A:$N,13,0))),0)</f>
        <v>0</v>
      </c>
      <c r="F45" s="130">
        <f t="shared" si="2"/>
        <v>3999.8096561499583</v>
      </c>
      <c r="G45" s="146">
        <f t="shared" si="3"/>
        <v>9105.0079472215548</v>
      </c>
      <c r="H45" s="146"/>
      <c r="I45" s="3"/>
      <c r="K45" s="113"/>
    </row>
    <row r="46" spans="1:11" x14ac:dyDescent="0.2">
      <c r="A46" s="1">
        <v>22</v>
      </c>
      <c r="B46" s="101">
        <v>18</v>
      </c>
      <c r="C46" s="138">
        <f t="shared" ca="1" si="0"/>
        <v>46458</v>
      </c>
      <c r="D46" s="129">
        <f t="shared" si="1"/>
        <v>5488.0881629019659</v>
      </c>
      <c r="E46" s="140">
        <f>IF(B46&lt;=$F$15,(E$17*(VLOOKUP($H$2,Лист2!$A:$N,12,0)-(B46-1)*VLOOKUP($H$2,Лист2!$A:$N,13,0))),0)</f>
        <v>0</v>
      </c>
      <c r="F46" s="130">
        <f t="shared" si="2"/>
        <v>3616.9197843195889</v>
      </c>
      <c r="G46" s="146">
        <f t="shared" si="3"/>
        <v>9105.0079472215548</v>
      </c>
      <c r="H46" s="146"/>
      <c r="I46" s="3"/>
      <c r="K46" s="113"/>
    </row>
    <row r="47" spans="1:11" x14ac:dyDescent="0.2">
      <c r="A47" s="1">
        <v>19</v>
      </c>
      <c r="B47" s="101">
        <v>19</v>
      </c>
      <c r="C47" s="138">
        <f t="shared" ca="1" si="0"/>
        <v>46489</v>
      </c>
      <c r="D47" s="129">
        <f t="shared" si="1"/>
        <v>5899.694775119614</v>
      </c>
      <c r="E47" s="140">
        <f>IF(B47&lt;=$F$15,(E$17*(VLOOKUP($H$2,Лист2!$A:$N,12,0)-(B47-1)*VLOOKUP($H$2,Лист2!$A:$N,13,0))),0)</f>
        <v>0</v>
      </c>
      <c r="F47" s="130">
        <f t="shared" si="2"/>
        <v>3205.3131721019408</v>
      </c>
      <c r="G47" s="146">
        <f t="shared" si="3"/>
        <v>9105.0079472215548</v>
      </c>
      <c r="H47" s="146"/>
      <c r="I47" s="3"/>
      <c r="K47" s="113"/>
    </row>
    <row r="48" spans="1:11" x14ac:dyDescent="0.2">
      <c r="A48" s="1">
        <v>20</v>
      </c>
      <c r="B48" s="101">
        <v>20</v>
      </c>
      <c r="C48" s="138">
        <f t="shared" ca="1" si="0"/>
        <v>46519</v>
      </c>
      <c r="D48" s="129">
        <f t="shared" si="1"/>
        <v>6342.1718832535835</v>
      </c>
      <c r="E48" s="140">
        <f>IF(B48&lt;=$F$15,(E$17*(VLOOKUP($H$2,Лист2!$A:$N,12,0)-(B48-1)*VLOOKUP($H$2,Лист2!$A:$N,13,0))),0)</f>
        <v>0</v>
      </c>
      <c r="F48" s="130">
        <f t="shared" si="2"/>
        <v>2762.8360639679704</v>
      </c>
      <c r="G48" s="146">
        <f t="shared" si="3"/>
        <v>9105.0079472215548</v>
      </c>
      <c r="H48" s="146"/>
      <c r="I48" s="3"/>
      <c r="K48" s="113"/>
    </row>
    <row r="49" spans="1:11" x14ac:dyDescent="0.2">
      <c r="A49" s="49">
        <v>21</v>
      </c>
      <c r="B49" s="101">
        <v>21</v>
      </c>
      <c r="C49" s="138">
        <f t="shared" ca="1" si="0"/>
        <v>46550</v>
      </c>
      <c r="D49" s="129">
        <f t="shared" si="1"/>
        <v>6817.8347744976027</v>
      </c>
      <c r="E49" s="140">
        <f>IF(B49&lt;=$F$15,(E$17*(VLOOKUP($H$2,Лист2!$A:$N,12,0)-(B49-1)*VLOOKUP($H$2,Лист2!$A:$N,13,0))),0)</f>
        <v>0</v>
      </c>
      <c r="F49" s="130">
        <f t="shared" si="2"/>
        <v>2287.1731727239521</v>
      </c>
      <c r="G49" s="146">
        <f t="shared" si="3"/>
        <v>9105.0079472215548</v>
      </c>
      <c r="H49" s="146"/>
      <c r="I49" s="3"/>
      <c r="K49" s="113"/>
    </row>
    <row r="50" spans="1:11" x14ac:dyDescent="0.2">
      <c r="A50" s="49">
        <v>22</v>
      </c>
      <c r="B50" s="101">
        <v>22</v>
      </c>
      <c r="C50" s="138">
        <f t="shared" ca="1" si="0"/>
        <v>46580</v>
      </c>
      <c r="D50" s="129">
        <f t="shared" si="1"/>
        <v>7329.1723825849231</v>
      </c>
      <c r="E50" s="140">
        <f>IF(B50&lt;=$F$15,(E$17*(VLOOKUP($H$2,Лист2!$A:$N,12,0)-(B50-1)*VLOOKUP($H$2,Лист2!$A:$N,13,0))),0)</f>
        <v>0</v>
      </c>
      <c r="F50" s="130">
        <f t="shared" si="2"/>
        <v>1775.835564636631</v>
      </c>
      <c r="G50" s="146">
        <f t="shared" si="3"/>
        <v>9105.0079472215548</v>
      </c>
      <c r="H50" s="146"/>
      <c r="I50" s="3"/>
    </row>
    <row r="51" spans="1:11" x14ac:dyDescent="0.2">
      <c r="A51" s="49">
        <v>25</v>
      </c>
      <c r="B51" s="101">
        <v>23</v>
      </c>
      <c r="C51" s="138">
        <f t="shared" ca="1" si="0"/>
        <v>46611</v>
      </c>
      <c r="D51" s="129">
        <f t="shared" si="1"/>
        <v>7878.8603112787932</v>
      </c>
      <c r="E51" s="140">
        <f>IF(B51&lt;=$F$15,(E$17*(VLOOKUP($H$2,Лист2!$A:$N,12,0)-(B51-1)*VLOOKUP($H$2,Лист2!$A:$N,13,0))),0)</f>
        <v>0</v>
      </c>
      <c r="F51" s="130">
        <f t="shared" si="2"/>
        <v>1226.1476359427622</v>
      </c>
      <c r="G51" s="146">
        <f t="shared" si="3"/>
        <v>9105.0079472215548</v>
      </c>
      <c r="H51" s="146"/>
      <c r="I51" s="3"/>
    </row>
    <row r="52" spans="1:11" x14ac:dyDescent="0.2">
      <c r="A52" s="49"/>
      <c r="B52" s="101">
        <v>24</v>
      </c>
      <c r="C52" s="138">
        <f t="shared" ca="1" si="0"/>
        <v>46642</v>
      </c>
      <c r="D52" s="129">
        <f t="shared" si="1"/>
        <v>8469.7748346247008</v>
      </c>
      <c r="E52" s="140">
        <f>IF(B52&lt;=$F$15,(E$17*(VLOOKUP($H$2,Лист2!$A:$N,12,0)-(B52-1)*VLOOKUP($H$2,Лист2!$A:$N,13,0))),0)</f>
        <v>0</v>
      </c>
      <c r="F52" s="130">
        <f t="shared" si="2"/>
        <v>635.23311259685272</v>
      </c>
      <c r="G52" s="146">
        <f t="shared" si="3"/>
        <v>9105.007947221553</v>
      </c>
      <c r="H52" s="146"/>
      <c r="I52" s="3"/>
    </row>
    <row r="53" spans="1:11" x14ac:dyDescent="0.2">
      <c r="A53" s="49"/>
      <c r="B53" s="101">
        <v>25</v>
      </c>
      <c r="C53" s="138">
        <f t="shared" ca="1" si="0"/>
        <v>46672</v>
      </c>
      <c r="D53" s="129">
        <f t="shared" si="1"/>
        <v>0</v>
      </c>
      <c r="E53" s="140">
        <f>IF(B53&lt;=$F$15,(E$17*(VLOOKUP($H$2,Лист2!$A:$N,12,0)-(B53-1)*VLOOKUP($H$2,Лист2!$A:$N,13,0))),0)</f>
        <v>0</v>
      </c>
      <c r="F53" s="130">
        <f t="shared" si="2"/>
        <v>0</v>
      </c>
      <c r="G53" s="146">
        <f t="shared" si="3"/>
        <v>0</v>
      </c>
      <c r="H53" s="146"/>
      <c r="I53" s="3"/>
    </row>
    <row r="54" spans="1:11" x14ac:dyDescent="0.2">
      <c r="A54" s="49"/>
      <c r="B54" s="101">
        <v>26</v>
      </c>
      <c r="C54" s="138">
        <f t="shared" ca="1" si="0"/>
        <v>46703</v>
      </c>
      <c r="D54" s="129">
        <f t="shared" si="1"/>
        <v>0</v>
      </c>
      <c r="E54" s="140">
        <f>IF(B54&lt;=$F$15,(E$17*(VLOOKUP($H$2,Лист2!$A:$N,12,0)-(B54-1)*VLOOKUP($H$2,Лист2!$A:$N,13,0))),0)</f>
        <v>0</v>
      </c>
      <c r="F54" s="130">
        <f t="shared" si="2"/>
        <v>0</v>
      </c>
      <c r="G54" s="146">
        <f t="shared" si="3"/>
        <v>0</v>
      </c>
      <c r="H54" s="146"/>
      <c r="I54" s="3"/>
    </row>
    <row r="55" spans="1:11" x14ac:dyDescent="0.2">
      <c r="A55" s="49"/>
      <c r="B55" s="101">
        <v>27</v>
      </c>
      <c r="C55" s="138">
        <f t="shared" ca="1" si="0"/>
        <v>46733</v>
      </c>
      <c r="D55" s="129">
        <f t="shared" si="1"/>
        <v>0</v>
      </c>
      <c r="E55" s="140">
        <f>IF(B55&lt;=$F$15,(E$17*(VLOOKUP($H$2,Лист2!$A:$N,12,0)-(B55-1)*VLOOKUP($H$2,Лист2!$A:$N,13,0))),0)</f>
        <v>0</v>
      </c>
      <c r="F55" s="130">
        <f t="shared" si="2"/>
        <v>0</v>
      </c>
      <c r="G55" s="146">
        <f t="shared" si="3"/>
        <v>0</v>
      </c>
      <c r="H55" s="146"/>
      <c r="I55" s="3"/>
    </row>
    <row r="56" spans="1:11" x14ac:dyDescent="0.2">
      <c r="A56" s="49"/>
      <c r="B56" s="101">
        <v>28</v>
      </c>
      <c r="C56" s="138">
        <f t="shared" ca="1" si="0"/>
        <v>46764</v>
      </c>
      <c r="D56" s="129">
        <f t="shared" si="1"/>
        <v>0</v>
      </c>
      <c r="E56" s="140">
        <f>IF(B56&lt;=$F$15,(E$17*(VLOOKUP($H$2,Лист2!$A:$N,12,0)-(B56-1)*VLOOKUP($H$2,Лист2!$A:$N,13,0))),0)</f>
        <v>0</v>
      </c>
      <c r="F56" s="130">
        <f t="shared" si="2"/>
        <v>0</v>
      </c>
      <c r="G56" s="146">
        <f t="shared" si="3"/>
        <v>0</v>
      </c>
      <c r="H56" s="146"/>
      <c r="I56" s="3"/>
    </row>
    <row r="57" spans="1:11" x14ac:dyDescent="0.2">
      <c r="A57" s="49"/>
      <c r="B57" s="101">
        <v>29</v>
      </c>
      <c r="C57" s="138">
        <f t="shared" ca="1" si="0"/>
        <v>46795</v>
      </c>
      <c r="D57" s="129">
        <f t="shared" si="1"/>
        <v>0</v>
      </c>
      <c r="E57" s="140">
        <f>IF(B57&lt;=$F$15,(E$17*(VLOOKUP($H$2,Лист2!$A:$N,12,0)-(B57-1)*VLOOKUP($H$2,Лист2!$A:$N,13,0))),0)</f>
        <v>0</v>
      </c>
      <c r="F57" s="130">
        <f t="shared" si="2"/>
        <v>0</v>
      </c>
      <c r="G57" s="146">
        <f t="shared" si="3"/>
        <v>0</v>
      </c>
      <c r="H57" s="146"/>
      <c r="I57" s="3"/>
    </row>
    <row r="58" spans="1:11" x14ac:dyDescent="0.2">
      <c r="A58" s="49">
        <v>25</v>
      </c>
      <c r="B58" s="101">
        <v>30</v>
      </c>
      <c r="C58" s="138">
        <f t="shared" ca="1" si="0"/>
        <v>46824</v>
      </c>
      <c r="D58" s="129">
        <f t="shared" si="1"/>
        <v>0</v>
      </c>
      <c r="E58" s="140">
        <f>IF(B58&lt;=$F$15,(E$17*(VLOOKUP($H$2,Лист2!$A:$N,12,0)-(B58-1)*VLOOKUP($H$2,Лист2!$A:$N,13,0))),0)</f>
        <v>0</v>
      </c>
      <c r="F58" s="130">
        <f t="shared" si="2"/>
        <v>0</v>
      </c>
      <c r="G58" s="146">
        <f t="shared" si="3"/>
        <v>0</v>
      </c>
      <c r="H58" s="146"/>
      <c r="I58" s="106"/>
      <c r="J58" s="106"/>
    </row>
    <row r="59" spans="1:11" x14ac:dyDescent="0.2">
      <c r="A59" s="49"/>
      <c r="B59" s="101">
        <v>31</v>
      </c>
      <c r="C59" s="138">
        <f t="shared" ca="1" si="0"/>
        <v>46855</v>
      </c>
      <c r="D59" s="129">
        <f t="shared" si="1"/>
        <v>0</v>
      </c>
      <c r="E59" s="140">
        <f>IF(B59&lt;=$F$15,(E$17*(VLOOKUP($H$2,Лист2!$A:$N,12,0)-(B59-1)*VLOOKUP($H$2,Лист2!$A:$N,13,0))),0)</f>
        <v>0</v>
      </c>
      <c r="F59" s="130">
        <f t="shared" si="2"/>
        <v>0</v>
      </c>
      <c r="G59" s="146">
        <f t="shared" si="3"/>
        <v>0</v>
      </c>
      <c r="H59" s="146"/>
      <c r="I59" s="106"/>
      <c r="J59" s="106"/>
    </row>
    <row r="60" spans="1:11" x14ac:dyDescent="0.2">
      <c r="A60" s="49"/>
      <c r="B60" s="101">
        <v>32</v>
      </c>
      <c r="C60" s="138">
        <f t="shared" ca="1" si="0"/>
        <v>46885</v>
      </c>
      <c r="D60" s="129">
        <f t="shared" si="1"/>
        <v>0</v>
      </c>
      <c r="E60" s="140">
        <f>IF(B60&lt;=$F$15,(E$17*(VLOOKUP($H$2,Лист2!$A:$N,12,0)-(B60-1)*VLOOKUP($H$2,Лист2!$A:$N,13,0))),0)</f>
        <v>0</v>
      </c>
      <c r="F60" s="130">
        <f t="shared" si="2"/>
        <v>0</v>
      </c>
      <c r="G60" s="146">
        <f t="shared" si="3"/>
        <v>0</v>
      </c>
      <c r="H60" s="146"/>
      <c r="I60" s="106"/>
      <c r="J60" s="106"/>
    </row>
    <row r="61" spans="1:11" x14ac:dyDescent="0.2">
      <c r="A61" s="49"/>
      <c r="B61" s="101">
        <v>33</v>
      </c>
      <c r="C61" s="138">
        <f t="shared" ca="1" si="0"/>
        <v>46916</v>
      </c>
      <c r="D61" s="129">
        <f t="shared" si="1"/>
        <v>0</v>
      </c>
      <c r="E61" s="140">
        <f>IF(B61&lt;=$F$15,(E$17*(VLOOKUP($H$2,Лист2!$A:$N,12,0)-(B61-1)*VLOOKUP($H$2,Лист2!$A:$N,13,0))),0)</f>
        <v>0</v>
      </c>
      <c r="F61" s="130">
        <f t="shared" si="2"/>
        <v>0</v>
      </c>
      <c r="G61" s="146">
        <f t="shared" si="3"/>
        <v>0</v>
      </c>
      <c r="H61" s="146"/>
      <c r="I61" s="106"/>
      <c r="J61" s="106"/>
    </row>
    <row r="62" spans="1:11" x14ac:dyDescent="0.2">
      <c r="A62" s="49"/>
      <c r="B62" s="101">
        <v>34</v>
      </c>
      <c r="C62" s="138">
        <f t="shared" ca="1" si="0"/>
        <v>46946</v>
      </c>
      <c r="D62" s="129">
        <f t="shared" si="1"/>
        <v>0</v>
      </c>
      <c r="E62" s="140">
        <f>IF(B62&lt;=$F$15,(E$17*(VLOOKUP($H$2,Лист2!$A:$N,12,0)-(B62-1)*VLOOKUP($H$2,Лист2!$A:$N,13,0))),0)</f>
        <v>0</v>
      </c>
      <c r="F62" s="130">
        <f t="shared" si="2"/>
        <v>0</v>
      </c>
      <c r="G62" s="146">
        <f t="shared" si="3"/>
        <v>0</v>
      </c>
      <c r="H62" s="146"/>
      <c r="I62" s="106"/>
      <c r="J62" s="106"/>
    </row>
    <row r="63" spans="1:11" x14ac:dyDescent="0.2">
      <c r="A63" s="49"/>
      <c r="B63" s="101">
        <v>35</v>
      </c>
      <c r="C63" s="138">
        <f t="shared" ca="1" si="0"/>
        <v>46977</v>
      </c>
      <c r="D63" s="129">
        <f t="shared" si="1"/>
        <v>0</v>
      </c>
      <c r="E63" s="140">
        <f>IF(B63&lt;=$F$15,(E$17*(VLOOKUP($H$2,Лист2!$A:$N,12,0)-(B63-1)*VLOOKUP($H$2,Лист2!$A:$N,13,0))),0)</f>
        <v>0</v>
      </c>
      <c r="F63" s="130">
        <f t="shared" si="2"/>
        <v>0</v>
      </c>
      <c r="G63" s="146">
        <f t="shared" si="3"/>
        <v>0</v>
      </c>
      <c r="H63" s="146"/>
      <c r="I63" s="106"/>
      <c r="J63" s="106"/>
    </row>
    <row r="64" spans="1:11" x14ac:dyDescent="0.2">
      <c r="A64" s="49"/>
      <c r="B64" s="101">
        <v>36</v>
      </c>
      <c r="C64" s="138">
        <f t="shared" ca="1" si="0"/>
        <v>47008</v>
      </c>
      <c r="D64" s="129">
        <f t="shared" si="1"/>
        <v>0</v>
      </c>
      <c r="E64" s="140">
        <f>IF(B64&lt;=$F$15,(E$17*(VLOOKUP($H$2,Лист2!$A:$N,12,0)-(B64-1)*VLOOKUP($H$2,Лист2!$A:$N,13,0))),0)</f>
        <v>0</v>
      </c>
      <c r="F64" s="130">
        <f t="shared" si="2"/>
        <v>0</v>
      </c>
      <c r="G64" s="146">
        <f t="shared" si="3"/>
        <v>0</v>
      </c>
      <c r="H64" s="146"/>
      <c r="I64" s="106"/>
      <c r="J64" s="106"/>
    </row>
    <row r="65" spans="1:10" x14ac:dyDescent="0.2">
      <c r="A65" s="49"/>
      <c r="B65" s="101">
        <v>37</v>
      </c>
      <c r="C65" s="104">
        <f t="shared" ca="1" si="0"/>
        <v>47038</v>
      </c>
      <c r="D65" s="129">
        <f t="shared" si="1"/>
        <v>0</v>
      </c>
      <c r="E65" s="130">
        <f>IF(B65&lt;=$F$15,(E$17*(VLOOKUP($H$2,Лист2!$A:$N,12,0)-(B65-1)*VLOOKUP($H$2,Лист2!$A:$N,13,0))),0)</f>
        <v>0</v>
      </c>
      <c r="F65" s="130">
        <f t="shared" si="2"/>
        <v>0</v>
      </c>
      <c r="G65" s="146">
        <f t="shared" si="3"/>
        <v>0</v>
      </c>
      <c r="H65" s="146"/>
      <c r="I65" s="106"/>
      <c r="J65" s="106"/>
    </row>
    <row r="66" spans="1:10" x14ac:dyDescent="0.2">
      <c r="A66" s="49"/>
      <c r="B66" s="101">
        <v>38</v>
      </c>
      <c r="C66" s="104">
        <f t="shared" ca="1" si="0"/>
        <v>47069</v>
      </c>
      <c r="D66" s="129">
        <f t="shared" si="1"/>
        <v>0</v>
      </c>
      <c r="E66" s="130">
        <f>IF(B66&lt;=$F$15,(E$17*(VLOOKUP($H$2,Лист2!$A:$N,12,0)-(B66-1)*VLOOKUP($H$2,Лист2!$A:$N,13,0))),0)</f>
        <v>0</v>
      </c>
      <c r="F66" s="130">
        <f t="shared" si="2"/>
        <v>0</v>
      </c>
      <c r="G66" s="146">
        <f t="shared" si="3"/>
        <v>0</v>
      </c>
      <c r="H66" s="146"/>
      <c r="I66" s="106"/>
      <c r="J66" s="106"/>
    </row>
    <row r="67" spans="1:10" x14ac:dyDescent="0.2">
      <c r="A67" s="49"/>
      <c r="B67" s="101">
        <v>39</v>
      </c>
      <c r="C67" s="104">
        <f t="shared" ca="1" si="0"/>
        <v>47099</v>
      </c>
      <c r="D67" s="129">
        <f t="shared" si="1"/>
        <v>0</v>
      </c>
      <c r="E67" s="130">
        <f>IF(B67&lt;=$F$15,(E$17*(VLOOKUP($H$2,Лист2!$A:$N,12,0)-(B67-1)*VLOOKUP($H$2,Лист2!$A:$N,13,0))),0)</f>
        <v>0</v>
      </c>
      <c r="F67" s="130">
        <f t="shared" si="2"/>
        <v>0</v>
      </c>
      <c r="G67" s="146">
        <f t="shared" si="3"/>
        <v>0</v>
      </c>
      <c r="H67" s="146"/>
      <c r="I67" s="106"/>
      <c r="J67" s="106"/>
    </row>
    <row r="68" spans="1:10" x14ac:dyDescent="0.2">
      <c r="A68" s="49"/>
      <c r="B68" s="101">
        <v>40</v>
      </c>
      <c r="C68" s="104">
        <f t="shared" ca="1" si="0"/>
        <v>47130</v>
      </c>
      <c r="D68" s="129">
        <f t="shared" si="1"/>
        <v>0</v>
      </c>
      <c r="E68" s="130">
        <f>IF(B68&lt;=$F$15,(E$17*(VLOOKUP($H$2,Лист2!$A:$N,12,0)-(B68-1)*VLOOKUP($H$2,Лист2!$A:$N,13,0))),0)</f>
        <v>0</v>
      </c>
      <c r="F68" s="130">
        <f t="shared" si="2"/>
        <v>0</v>
      </c>
      <c r="G68" s="146">
        <f t="shared" si="3"/>
        <v>0</v>
      </c>
      <c r="H68" s="146"/>
      <c r="I68" s="106"/>
      <c r="J68" s="106"/>
    </row>
    <row r="69" spans="1:10" x14ac:dyDescent="0.2">
      <c r="A69" s="49"/>
      <c r="B69" s="101">
        <v>41</v>
      </c>
      <c r="C69" s="104">
        <f t="shared" ca="1" si="0"/>
        <v>47161</v>
      </c>
      <c r="D69" s="129">
        <f t="shared" si="1"/>
        <v>0</v>
      </c>
      <c r="E69" s="130">
        <f>IF(B69&lt;=$F$15,(E$17*(VLOOKUP($H$2,Лист2!$A:$N,12,0)-(B69-1)*VLOOKUP($H$2,Лист2!$A:$N,13,0))),0)</f>
        <v>0</v>
      </c>
      <c r="F69" s="130">
        <f t="shared" si="2"/>
        <v>0</v>
      </c>
      <c r="G69" s="146">
        <f t="shared" si="3"/>
        <v>0</v>
      </c>
      <c r="H69" s="146"/>
      <c r="I69" s="106"/>
      <c r="J69" s="106"/>
    </row>
    <row r="70" spans="1:10" x14ac:dyDescent="0.2">
      <c r="A70" s="49"/>
      <c r="B70" s="101">
        <v>42</v>
      </c>
      <c r="C70" s="104">
        <f t="shared" ca="1" si="0"/>
        <v>47189</v>
      </c>
      <c r="D70" s="129">
        <f t="shared" si="1"/>
        <v>0</v>
      </c>
      <c r="E70" s="130">
        <f>IF(B70&lt;=$F$15,(E$17*(VLOOKUP($H$2,Лист2!$A:$N,12,0)-(B70-1)*VLOOKUP($H$2,Лист2!$A:$N,13,0))),0)</f>
        <v>0</v>
      </c>
      <c r="F70" s="130">
        <f t="shared" si="2"/>
        <v>0</v>
      </c>
      <c r="G70" s="146">
        <f t="shared" si="3"/>
        <v>0</v>
      </c>
      <c r="H70" s="146"/>
      <c r="I70" s="106"/>
      <c r="J70" s="106"/>
    </row>
    <row r="71" spans="1:10" x14ac:dyDescent="0.2">
      <c r="A71" s="49"/>
      <c r="B71" s="101">
        <v>43</v>
      </c>
      <c r="C71" s="104">
        <f t="shared" ca="1" si="0"/>
        <v>47220</v>
      </c>
      <c r="D71" s="129">
        <f t="shared" si="1"/>
        <v>0</v>
      </c>
      <c r="E71" s="130">
        <f>IF(B71&lt;=$F$15,(E$17*(VLOOKUP($H$2,Лист2!$A:$N,12,0)-(B71-1)*VLOOKUP($H$2,Лист2!$A:$N,13,0))),0)</f>
        <v>0</v>
      </c>
      <c r="F71" s="130">
        <f t="shared" si="2"/>
        <v>0</v>
      </c>
      <c r="G71" s="146">
        <f t="shared" si="3"/>
        <v>0</v>
      </c>
      <c r="H71" s="146"/>
      <c r="I71" s="106"/>
      <c r="J71" s="106"/>
    </row>
    <row r="72" spans="1:10" x14ac:dyDescent="0.2">
      <c r="A72" s="49"/>
      <c r="B72" s="101">
        <v>44</v>
      </c>
      <c r="C72" s="104">
        <f t="shared" ca="1" si="0"/>
        <v>47250</v>
      </c>
      <c r="D72" s="129">
        <f t="shared" si="1"/>
        <v>0</v>
      </c>
      <c r="E72" s="130">
        <f>IF(B72&lt;=$F$15,(E$17*(VLOOKUP($H$2,Лист2!$A:$N,12,0)-(B72-1)*VLOOKUP($H$2,Лист2!$A:$N,13,0))),0)</f>
        <v>0</v>
      </c>
      <c r="F72" s="130">
        <f t="shared" si="2"/>
        <v>0</v>
      </c>
      <c r="G72" s="146">
        <f t="shared" si="3"/>
        <v>0</v>
      </c>
      <c r="H72" s="146"/>
      <c r="I72" s="106"/>
      <c r="J72" s="106"/>
    </row>
    <row r="73" spans="1:10" x14ac:dyDescent="0.2">
      <c r="A73" s="49"/>
      <c r="B73" s="101">
        <v>45</v>
      </c>
      <c r="C73" s="104">
        <f t="shared" ca="1" si="0"/>
        <v>47281</v>
      </c>
      <c r="D73" s="129">
        <f t="shared" si="1"/>
        <v>0</v>
      </c>
      <c r="E73" s="130">
        <f>IF(B73&lt;=$F$15,(E$17*(VLOOKUP($H$2,Лист2!$A:$N,12,0)-(B73-1)*VLOOKUP($H$2,Лист2!$A:$N,13,0))),0)</f>
        <v>0</v>
      </c>
      <c r="F73" s="130">
        <f t="shared" si="2"/>
        <v>0</v>
      </c>
      <c r="G73" s="146">
        <f t="shared" si="3"/>
        <v>0</v>
      </c>
      <c r="H73" s="146"/>
      <c r="I73" s="106"/>
      <c r="J73" s="106"/>
    </row>
    <row r="74" spans="1:10" x14ac:dyDescent="0.2">
      <c r="A74" s="49"/>
      <c r="B74" s="101">
        <v>46</v>
      </c>
      <c r="C74" s="104">
        <f t="shared" ca="1" si="0"/>
        <v>47311</v>
      </c>
      <c r="D74" s="129">
        <f t="shared" si="1"/>
        <v>0</v>
      </c>
      <c r="E74" s="130">
        <f>IF(B74&lt;=$F$15,(E$17*(VLOOKUP($H$2,Лист2!$A:$N,12,0)-(B74-1)*VLOOKUP($H$2,Лист2!$A:$N,13,0))),0)</f>
        <v>0</v>
      </c>
      <c r="F74" s="130">
        <f t="shared" si="2"/>
        <v>0</v>
      </c>
      <c r="G74" s="146">
        <f t="shared" si="3"/>
        <v>0</v>
      </c>
      <c r="H74" s="146"/>
      <c r="I74" s="106"/>
      <c r="J74" s="106"/>
    </row>
    <row r="75" spans="1:10" x14ac:dyDescent="0.2">
      <c r="A75" s="49"/>
      <c r="B75" s="101">
        <v>47</v>
      </c>
      <c r="C75" s="104">
        <f t="shared" ca="1" si="0"/>
        <v>47342</v>
      </c>
      <c r="D75" s="129">
        <f t="shared" si="1"/>
        <v>0</v>
      </c>
      <c r="E75" s="130">
        <f>IF(B75&lt;=$F$15,(E$17*(VLOOKUP($H$2,Лист2!$A:$N,12,0)-(B75-1)*VLOOKUP($H$2,Лист2!$A:$N,13,0))),0)</f>
        <v>0</v>
      </c>
      <c r="F75" s="130">
        <f t="shared" si="2"/>
        <v>0</v>
      </c>
      <c r="G75" s="146">
        <f t="shared" si="3"/>
        <v>0</v>
      </c>
      <c r="H75" s="146"/>
      <c r="I75" s="106"/>
      <c r="J75" s="106"/>
    </row>
    <row r="76" spans="1:10" x14ac:dyDescent="0.2">
      <c r="A76" s="49"/>
      <c r="B76" s="101">
        <v>48</v>
      </c>
      <c r="C76" s="104">
        <f t="shared" ca="1" si="0"/>
        <v>47373</v>
      </c>
      <c r="D76" s="129">
        <f t="shared" si="1"/>
        <v>0</v>
      </c>
      <c r="E76" s="130">
        <f>IF(B76&lt;=$F$15,(E$17*(VLOOKUP($H$2,Лист2!$A:$N,12,0)-(B76-1)*VLOOKUP($H$2,Лист2!$A:$N,13,0))),0)</f>
        <v>0</v>
      </c>
      <c r="F76" s="130">
        <f t="shared" si="2"/>
        <v>0</v>
      </c>
      <c r="G76" s="146">
        <f t="shared" si="3"/>
        <v>0</v>
      </c>
      <c r="H76" s="146"/>
      <c r="I76" s="106"/>
      <c r="J76" s="106"/>
    </row>
    <row r="77" spans="1:10" x14ac:dyDescent="0.2">
      <c r="A77" s="49"/>
      <c r="B77" s="101">
        <v>49</v>
      </c>
      <c r="C77" s="104">
        <f t="shared" ca="1" si="0"/>
        <v>47403</v>
      </c>
      <c r="D77" s="129">
        <f t="shared" si="1"/>
        <v>0</v>
      </c>
      <c r="E77" s="130">
        <f>IF(B77&lt;=$F$15,(E$17*(VLOOKUP($H$2,Лист2!$A:$N,12,0)-(B77-1)*VLOOKUP($H$2,Лист2!$A:$N,13,0))),0)</f>
        <v>0</v>
      </c>
      <c r="F77" s="130">
        <f t="shared" si="2"/>
        <v>0</v>
      </c>
      <c r="G77" s="146">
        <f t="shared" si="3"/>
        <v>0</v>
      </c>
      <c r="H77" s="146"/>
      <c r="I77" s="106"/>
      <c r="J77" s="106"/>
    </row>
    <row r="78" spans="1:10" x14ac:dyDescent="0.2">
      <c r="A78" s="49"/>
      <c r="B78" s="101">
        <v>50</v>
      </c>
      <c r="C78" s="104">
        <f t="shared" ca="1" si="0"/>
        <v>47434</v>
      </c>
      <c r="D78" s="129">
        <f t="shared" si="1"/>
        <v>0</v>
      </c>
      <c r="E78" s="130">
        <f>IF(B78&lt;=$F$15,(E$17*(VLOOKUP($H$2,Лист2!$A:$N,12,0)-(B78-1)*VLOOKUP($H$2,Лист2!$A:$N,13,0))),0)</f>
        <v>0</v>
      </c>
      <c r="F78" s="130">
        <f t="shared" si="2"/>
        <v>0</v>
      </c>
      <c r="G78" s="146">
        <f t="shared" si="3"/>
        <v>0</v>
      </c>
      <c r="H78" s="146"/>
      <c r="I78" s="106"/>
      <c r="J78" s="106"/>
    </row>
    <row r="79" spans="1:10" x14ac:dyDescent="0.2">
      <c r="A79" s="49"/>
      <c r="B79" s="101">
        <v>51</v>
      </c>
      <c r="C79" s="104">
        <f t="shared" ca="1" si="0"/>
        <v>47464</v>
      </c>
      <c r="D79" s="129">
        <f t="shared" si="1"/>
        <v>0</v>
      </c>
      <c r="E79" s="130">
        <f>IF(B79&lt;=$F$15,(E$17*(VLOOKUP($H$2,Лист2!$A:$N,12,0)-(B79-1)*VLOOKUP($H$2,Лист2!$A:$N,13,0))),0)</f>
        <v>0</v>
      </c>
      <c r="F79" s="130">
        <f t="shared" si="2"/>
        <v>0</v>
      </c>
      <c r="G79" s="146">
        <f t="shared" si="3"/>
        <v>0</v>
      </c>
      <c r="H79" s="146"/>
      <c r="I79" s="106"/>
      <c r="J79" s="106"/>
    </row>
    <row r="80" spans="1:10" x14ac:dyDescent="0.2">
      <c r="A80" s="49"/>
      <c r="B80" s="101">
        <v>52</v>
      </c>
      <c r="C80" s="104">
        <f t="shared" ca="1" si="0"/>
        <v>47495</v>
      </c>
      <c r="D80" s="129">
        <f t="shared" si="1"/>
        <v>0</v>
      </c>
      <c r="E80" s="130">
        <f>IF(B80&lt;=$F$15,(E$17*(VLOOKUP($H$2,Лист2!$A:$N,12,0)-(B80-1)*VLOOKUP($H$2,Лист2!$A:$N,13,0))),0)</f>
        <v>0</v>
      </c>
      <c r="F80" s="130">
        <f t="shared" si="2"/>
        <v>0</v>
      </c>
      <c r="G80" s="146">
        <f t="shared" si="3"/>
        <v>0</v>
      </c>
      <c r="H80" s="146"/>
      <c r="I80" s="106"/>
      <c r="J80" s="106"/>
    </row>
    <row r="81" spans="1:10" x14ac:dyDescent="0.2">
      <c r="A81" s="49"/>
      <c r="B81" s="101">
        <v>53</v>
      </c>
      <c r="C81" s="104">
        <f t="shared" ca="1" si="0"/>
        <v>47526</v>
      </c>
      <c r="D81" s="129">
        <f t="shared" si="1"/>
        <v>0</v>
      </c>
      <c r="E81" s="130">
        <f>IF(B81&lt;=$F$15,(E$17*(VLOOKUP($H$2,Лист2!$A:$N,12,0)-(B81-1)*VLOOKUP($H$2,Лист2!$A:$N,13,0))),0)</f>
        <v>0</v>
      </c>
      <c r="F81" s="130">
        <f t="shared" si="2"/>
        <v>0</v>
      </c>
      <c r="G81" s="146">
        <f t="shared" si="3"/>
        <v>0</v>
      </c>
      <c r="H81" s="146"/>
      <c r="I81" s="106"/>
      <c r="J81" s="106"/>
    </row>
    <row r="82" spans="1:10" x14ac:dyDescent="0.2">
      <c r="A82" s="49"/>
      <c r="B82" s="101">
        <v>54</v>
      </c>
      <c r="C82" s="104">
        <f t="shared" ca="1" si="0"/>
        <v>47554</v>
      </c>
      <c r="D82" s="129">
        <f t="shared" si="1"/>
        <v>0</v>
      </c>
      <c r="E82" s="130">
        <f>IF(B82&lt;=$F$15,(E$17*(VLOOKUP($H$2,Лист2!$A:$N,12,0)-(B82-1)*VLOOKUP($H$2,Лист2!$A:$N,13,0))),0)</f>
        <v>0</v>
      </c>
      <c r="F82" s="130">
        <f t="shared" si="2"/>
        <v>0</v>
      </c>
      <c r="G82" s="146">
        <f t="shared" si="3"/>
        <v>0</v>
      </c>
      <c r="H82" s="146"/>
      <c r="I82" s="106"/>
      <c r="J82" s="106"/>
    </row>
    <row r="83" spans="1:10" x14ac:dyDescent="0.2">
      <c r="A83" s="49"/>
      <c r="B83" s="101">
        <v>55</v>
      </c>
      <c r="C83" s="104">
        <f t="shared" ca="1" si="0"/>
        <v>47585</v>
      </c>
      <c r="D83" s="129">
        <f t="shared" si="1"/>
        <v>0</v>
      </c>
      <c r="E83" s="130">
        <f>IF(B83&lt;=$F$15,(E$17*(VLOOKUP($H$2,Лист2!$A:$N,12,0)-(B83-1)*VLOOKUP($H$2,Лист2!$A:$N,13,0))),0)</f>
        <v>0</v>
      </c>
      <c r="F83" s="130">
        <f t="shared" si="2"/>
        <v>0</v>
      </c>
      <c r="G83" s="146">
        <f t="shared" si="3"/>
        <v>0</v>
      </c>
      <c r="H83" s="146"/>
      <c r="I83" s="106"/>
      <c r="J83" s="106"/>
    </row>
    <row r="84" spans="1:10" x14ac:dyDescent="0.2">
      <c r="A84" s="49"/>
      <c r="B84" s="101">
        <v>56</v>
      </c>
      <c r="C84" s="104">
        <f t="shared" ca="1" si="0"/>
        <v>47615</v>
      </c>
      <c r="D84" s="129">
        <f t="shared" si="1"/>
        <v>0</v>
      </c>
      <c r="E84" s="130">
        <f>IF(B84&lt;=$F$15,(E$17*(VLOOKUP($H$2,Лист2!$A:$N,12,0)-(B84-1)*VLOOKUP($H$2,Лист2!$A:$N,13,0))),0)</f>
        <v>0</v>
      </c>
      <c r="F84" s="130">
        <f t="shared" si="2"/>
        <v>0</v>
      </c>
      <c r="G84" s="146">
        <f t="shared" si="3"/>
        <v>0</v>
      </c>
      <c r="H84" s="146"/>
      <c r="I84" s="106"/>
      <c r="J84" s="106"/>
    </row>
    <row r="85" spans="1:10" x14ac:dyDescent="0.2">
      <c r="A85" s="49"/>
      <c r="B85" s="101">
        <v>57</v>
      </c>
      <c r="C85" s="104">
        <f t="shared" ca="1" si="0"/>
        <v>47646</v>
      </c>
      <c r="D85" s="129">
        <f t="shared" si="1"/>
        <v>0</v>
      </c>
      <c r="E85" s="130">
        <f>IF(B85&lt;=$F$15,(E$17*(VLOOKUP($H$2,Лист2!$A:$N,12,0)-(B85-1)*VLOOKUP($H$2,Лист2!$A:$N,13,0))),0)</f>
        <v>0</v>
      </c>
      <c r="F85" s="130">
        <f t="shared" si="2"/>
        <v>0</v>
      </c>
      <c r="G85" s="146">
        <f t="shared" si="3"/>
        <v>0</v>
      </c>
      <c r="H85" s="146"/>
      <c r="I85" s="106"/>
      <c r="J85" s="106"/>
    </row>
    <row r="86" spans="1:10" x14ac:dyDescent="0.2">
      <c r="A86" s="49"/>
      <c r="B86" s="101">
        <v>58</v>
      </c>
      <c r="C86" s="104">
        <f t="shared" ca="1" si="0"/>
        <v>47676</v>
      </c>
      <c r="D86" s="129">
        <f t="shared" si="1"/>
        <v>0</v>
      </c>
      <c r="E86" s="130">
        <f>IF(B86&lt;=$F$15,(E$17*(VLOOKUP($H$2,Лист2!$A:$N,12,0)-(B86-1)*VLOOKUP($H$2,Лист2!$A:$N,13,0))),0)</f>
        <v>0</v>
      </c>
      <c r="F86" s="130">
        <f t="shared" si="2"/>
        <v>0</v>
      </c>
      <c r="G86" s="146">
        <f t="shared" si="3"/>
        <v>0</v>
      </c>
      <c r="H86" s="146"/>
      <c r="I86" s="106"/>
      <c r="J86" s="106"/>
    </row>
    <row r="87" spans="1:10" x14ac:dyDescent="0.2">
      <c r="A87" s="49"/>
      <c r="B87" s="101">
        <v>59</v>
      </c>
      <c r="C87" s="104">
        <f t="shared" ca="1" si="0"/>
        <v>47707</v>
      </c>
      <c r="D87" s="129">
        <f t="shared" si="1"/>
        <v>0</v>
      </c>
      <c r="E87" s="130">
        <f>IF(B87&lt;=$F$15,(E$17*(VLOOKUP($H$2,Лист2!$A:$N,12,0)-(B87-1)*VLOOKUP($H$2,Лист2!$A:$N,13,0))),0)</f>
        <v>0</v>
      </c>
      <c r="F87" s="130">
        <f t="shared" si="2"/>
        <v>0</v>
      </c>
      <c r="G87" s="146">
        <f t="shared" si="3"/>
        <v>0</v>
      </c>
      <c r="H87" s="146"/>
      <c r="I87" s="106"/>
      <c r="J87" s="106"/>
    </row>
    <row r="88" spans="1:10" ht="13.5" thickBot="1" x14ac:dyDescent="0.25">
      <c r="A88" s="49"/>
      <c r="B88" s="127">
        <v>60</v>
      </c>
      <c r="C88" s="128">
        <f t="shared" ca="1" si="0"/>
        <v>47738</v>
      </c>
      <c r="D88" s="129">
        <f t="shared" si="1"/>
        <v>0</v>
      </c>
      <c r="E88" s="131">
        <f>IF(B88&lt;=$F$15,(E$17*(VLOOKUP($H$2,Лист2!$A:$N,12,0)-(B88-1)*VLOOKUP($H$2,Лист2!$A:$N,13,0))),0)</f>
        <v>0</v>
      </c>
      <c r="F88" s="130">
        <f t="shared" si="2"/>
        <v>0</v>
      </c>
      <c r="G88" s="147">
        <f t="shared" si="3"/>
        <v>0</v>
      </c>
      <c r="H88" s="147"/>
      <c r="I88" s="106"/>
      <c r="J88" s="106"/>
    </row>
    <row r="89" spans="1:10" ht="16.5" thickBot="1" x14ac:dyDescent="0.25">
      <c r="A89" s="49"/>
      <c r="B89" s="141" t="s">
        <v>1</v>
      </c>
      <c r="C89" s="142"/>
      <c r="D89" s="133">
        <f>SUM(D29:D88)</f>
        <v>99999.999999999985</v>
      </c>
      <c r="E89" s="133">
        <f>SUM(E29:E88)</f>
        <v>0</v>
      </c>
      <c r="F89" s="133">
        <f>SUM(F29:F88)</f>
        <v>118520.19073331733</v>
      </c>
      <c r="G89" s="143">
        <f>SUM(G29:H88)</f>
        <v>218520.19073331726</v>
      </c>
      <c r="H89" s="144"/>
      <c r="I89" s="106"/>
      <c r="J89" s="106"/>
    </row>
    <row r="90" spans="1:10" x14ac:dyDescent="0.2">
      <c r="A90" s="49"/>
      <c r="B90" s="2"/>
      <c r="C90" s="2"/>
      <c r="D90" s="2"/>
      <c r="E90" s="2"/>
      <c r="F90" s="2"/>
      <c r="G90" s="35"/>
      <c r="I90" s="106"/>
      <c r="J90" s="106"/>
    </row>
    <row r="91" spans="1:10" x14ac:dyDescent="0.2">
      <c r="A91" s="49"/>
      <c r="B91" s="2"/>
      <c r="C91" s="27"/>
      <c r="D91" s="28"/>
      <c r="E91" s="145" t="s">
        <v>3</v>
      </c>
      <c r="F91" s="145"/>
      <c r="G91" s="145"/>
      <c r="I91" s="106"/>
      <c r="J91" s="106"/>
    </row>
    <row r="92" spans="1:10" x14ac:dyDescent="0.2">
      <c r="A92" s="49"/>
      <c r="B92" s="2"/>
      <c r="C92" s="29"/>
      <c r="D92" s="2"/>
      <c r="E92" s="30" t="s">
        <v>4</v>
      </c>
      <c r="F92" s="31"/>
      <c r="G92" s="40"/>
      <c r="I92" s="106"/>
      <c r="J92" s="106"/>
    </row>
    <row r="93" spans="1:10" x14ac:dyDescent="0.2">
      <c r="A93" s="49"/>
      <c r="B93" s="50"/>
      <c r="C93" s="50"/>
      <c r="D93" s="50"/>
      <c r="E93" s="50"/>
      <c r="F93" s="50"/>
      <c r="G93" s="107"/>
      <c r="H93" s="51"/>
      <c r="I93" s="106"/>
      <c r="J93" s="106"/>
    </row>
    <row r="94" spans="1:10" x14ac:dyDescent="0.2">
      <c r="A94" s="49"/>
      <c r="B94" s="50"/>
      <c r="C94" s="50"/>
      <c r="D94" s="50"/>
      <c r="E94" s="50"/>
      <c r="F94" s="50"/>
      <c r="G94" s="107"/>
      <c r="H94" s="51"/>
      <c r="I94" s="52"/>
    </row>
    <row r="95" spans="1:10" x14ac:dyDescent="0.2">
      <c r="A95" s="49"/>
      <c r="B95" s="50"/>
      <c r="C95" s="50"/>
      <c r="D95" s="50"/>
      <c r="E95" s="50"/>
      <c r="F95" s="50"/>
      <c r="G95" s="107"/>
      <c r="H95" s="51"/>
      <c r="I95" s="52"/>
    </row>
    <row r="96" spans="1:10" x14ac:dyDescent="0.2">
      <c r="A96" s="49"/>
      <c r="B96" s="50"/>
      <c r="C96" s="50"/>
      <c r="D96" s="50"/>
      <c r="E96" s="50"/>
      <c r="F96" s="50"/>
      <c r="G96" s="107"/>
      <c r="H96" s="51"/>
      <c r="I96" s="52"/>
    </row>
  </sheetData>
  <sheetProtection algorithmName="SHA-512" hashValue="1bQrN83baOxiw2Xhtjva55YGrHsq6x/R7WCsgQuNBtdE709pX4clIvG755vJvl6xDVJJBVQ+ER4eVss2SWRQbA==" saltValue="GOb2DJFWuR6iyuJyaI0O0w==" spinCount="100000" sheet="1" objects="1" scenarios="1" selectLockedCells="1"/>
  <dataConsolidate/>
  <mergeCells count="87">
    <mergeCell ref="B7:E7"/>
    <mergeCell ref="H1:I1"/>
    <mergeCell ref="H2:I2"/>
    <mergeCell ref="F3:F4"/>
    <mergeCell ref="H3:I3"/>
    <mergeCell ref="B5:E5"/>
    <mergeCell ref="B9:E9"/>
    <mergeCell ref="G9:H9"/>
    <mergeCell ref="B11:E11"/>
    <mergeCell ref="G11:H11"/>
    <mergeCell ref="B13:E13"/>
    <mergeCell ref="G13:H13"/>
    <mergeCell ref="B15:E15"/>
    <mergeCell ref="G15:H15"/>
    <mergeCell ref="B18:E18"/>
    <mergeCell ref="G18:H18"/>
    <mergeCell ref="B20:E20"/>
    <mergeCell ref="G20:H20"/>
    <mergeCell ref="G34:H34"/>
    <mergeCell ref="B22:E22"/>
    <mergeCell ref="G22:H22"/>
    <mergeCell ref="B24:E24"/>
    <mergeCell ref="B26:H26"/>
    <mergeCell ref="G27:H27"/>
    <mergeCell ref="G28:H28"/>
    <mergeCell ref="G29:H29"/>
    <mergeCell ref="G30:H30"/>
    <mergeCell ref="G31:H31"/>
    <mergeCell ref="G32:H32"/>
    <mergeCell ref="G33:H33"/>
    <mergeCell ref="G46:H46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58:H58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70:H70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82:H82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B89:C89"/>
    <mergeCell ref="G89:H89"/>
    <mergeCell ref="E91:G91"/>
    <mergeCell ref="G83:H83"/>
    <mergeCell ref="G84:H84"/>
    <mergeCell ref="G85:H85"/>
    <mergeCell ref="G86:H86"/>
    <mergeCell ref="G87:H87"/>
    <mergeCell ref="G88:H88"/>
  </mergeCells>
  <dataValidations count="1">
    <dataValidation type="list" showInputMessage="1" showErrorMessage="1" sqref="H2:I2" xr:uid="{00000000-0002-0000-0000-000000000000}">
      <formula1>$K$13:$K$16</formula1>
    </dataValidation>
  </dataValidations>
  <pageMargins left="0.39370078740157483" right="0.35433070866141736" top="0.59055118110236227" bottom="0.59055118110236227" header="0.51181102362204722" footer="0.51181102362204722"/>
  <pageSetup paperSize="9" scale="68" firstPageNumber="2" orientation="portrait" verticalDpi="300" r:id="rId1"/>
  <headerFooter alignWithMargins="0"/>
  <rowBreaks count="1" manualBreakCount="1">
    <brk id="89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9"/>
  <dimension ref="A1:N7"/>
  <sheetViews>
    <sheetView zoomScale="85" zoomScaleNormal="85" workbookViewId="0">
      <selection activeCell="B38" sqref="B38"/>
    </sheetView>
  </sheetViews>
  <sheetFormatPr defaultColWidth="9.140625" defaultRowHeight="12.75" x14ac:dyDescent="0.2"/>
  <cols>
    <col min="1" max="1" width="35.28515625" style="110" customWidth="1"/>
    <col min="2" max="2" width="11.42578125" style="110" customWidth="1"/>
    <col min="3" max="4" width="9.140625" style="110"/>
    <col min="5" max="5" width="17.28515625" style="110" customWidth="1"/>
    <col min="6" max="6" width="16.85546875" style="110" customWidth="1"/>
    <col min="7" max="7" width="15.7109375" style="110" customWidth="1"/>
    <col min="8" max="10" width="9.140625" style="110" customWidth="1"/>
    <col min="11" max="13" width="17.5703125" style="110" customWidth="1"/>
    <col min="14" max="16384" width="9.140625" style="110"/>
  </cols>
  <sheetData>
    <row r="1" spans="1:14" x14ac:dyDescent="0.2">
      <c r="B1" s="110" t="s">
        <v>17</v>
      </c>
      <c r="C1" s="110" t="s">
        <v>18</v>
      </c>
      <c r="D1" s="110" t="s">
        <v>19</v>
      </c>
      <c r="E1" s="110" t="s">
        <v>20</v>
      </c>
      <c r="F1" s="110" t="s">
        <v>21</v>
      </c>
      <c r="J1" s="110" t="s">
        <v>12</v>
      </c>
      <c r="K1" s="110" t="s">
        <v>0</v>
      </c>
      <c r="L1" s="110" t="s">
        <v>27</v>
      </c>
      <c r="M1" s="110" t="s">
        <v>28</v>
      </c>
    </row>
    <row r="2" spans="1:14" x14ac:dyDescent="0.2">
      <c r="D2" s="111"/>
      <c r="E2" s="111"/>
      <c r="F2" s="111"/>
      <c r="H2" s="110" t="s">
        <v>23</v>
      </c>
      <c r="I2" s="110" t="s">
        <v>22</v>
      </c>
      <c r="K2" s="112"/>
      <c r="L2" s="112"/>
      <c r="M2" s="112"/>
    </row>
    <row r="3" spans="1:14" x14ac:dyDescent="0.2">
      <c r="A3" s="110">
        <v>1</v>
      </c>
      <c r="B3" s="110">
        <v>2</v>
      </c>
      <c r="C3" s="110">
        <v>3</v>
      </c>
      <c r="D3" s="110">
        <v>4</v>
      </c>
      <c r="E3" s="110">
        <v>5</v>
      </c>
      <c r="F3" s="110">
        <v>6</v>
      </c>
      <c r="G3" s="110">
        <v>7</v>
      </c>
      <c r="H3" s="110">
        <v>8</v>
      </c>
      <c r="I3" s="110">
        <v>9</v>
      </c>
      <c r="J3" s="110">
        <v>10</v>
      </c>
      <c r="K3" s="110">
        <v>11</v>
      </c>
      <c r="L3" s="110">
        <v>12</v>
      </c>
      <c r="M3" s="110">
        <v>13</v>
      </c>
      <c r="N3" s="110">
        <v>14</v>
      </c>
    </row>
    <row r="4" spans="1:14" x14ac:dyDescent="0.2">
      <c r="A4" s="117" t="s">
        <v>49</v>
      </c>
      <c r="B4" s="117">
        <v>500000</v>
      </c>
      <c r="C4" s="117">
        <v>60</v>
      </c>
      <c r="D4" s="118">
        <v>0.89</v>
      </c>
      <c r="E4" s="118">
        <v>0</v>
      </c>
      <c r="F4" s="118">
        <v>0</v>
      </c>
      <c r="G4" s="117" t="str">
        <f t="shared" ref="G4" si="0">I$2&amp;" "&amp;B4&amp;" "&amp;H$2</f>
        <v>max. 500000 грн.</v>
      </c>
      <c r="H4" s="117">
        <f t="shared" ref="H4" si="1">B4+B4*E4</f>
        <v>500000</v>
      </c>
      <c r="I4" s="117"/>
      <c r="J4" s="117">
        <v>4</v>
      </c>
      <c r="K4" s="119">
        <f t="shared" ref="K4" si="2">D4/12/(1-1/POWER(1+D4/12,C4))*H4+H4*F4</f>
        <v>37597.205731050773</v>
      </c>
      <c r="L4" s="120">
        <v>0</v>
      </c>
      <c r="M4" s="121">
        <v>0</v>
      </c>
      <c r="N4" s="117">
        <v>5000</v>
      </c>
    </row>
    <row r="5" spans="1:14" x14ac:dyDescent="0.2">
      <c r="A5" s="117" t="s">
        <v>48</v>
      </c>
      <c r="B5" s="117">
        <v>500000</v>
      </c>
      <c r="C5" s="117">
        <v>36</v>
      </c>
      <c r="D5" s="118">
        <v>0.89</v>
      </c>
      <c r="E5" s="118">
        <v>0</v>
      </c>
      <c r="F5" s="118">
        <v>0</v>
      </c>
      <c r="G5" s="117" t="str">
        <f t="shared" ref="G5" si="3">I$2&amp;" "&amp;B5&amp;" "&amp;H$2</f>
        <v>max. 500000 грн.</v>
      </c>
      <c r="H5" s="117">
        <f t="shared" ref="H5" si="4">B5+B5*E5</f>
        <v>500000</v>
      </c>
      <c r="I5" s="117"/>
      <c r="J5" s="117">
        <v>4</v>
      </c>
      <c r="K5" s="119">
        <f t="shared" ref="K5" si="5">D5/12/(1-1/POWER(1+D5/12,C5))*H5+H5*F5</f>
        <v>40138.08934632958</v>
      </c>
      <c r="L5" s="120">
        <v>0</v>
      </c>
      <c r="M5" s="121">
        <v>0</v>
      </c>
      <c r="N5" s="117">
        <v>5000</v>
      </c>
    </row>
    <row r="6" spans="1:14" x14ac:dyDescent="0.2">
      <c r="A6" s="117" t="s">
        <v>46</v>
      </c>
      <c r="B6" s="117">
        <v>500000</v>
      </c>
      <c r="C6" s="117">
        <v>24</v>
      </c>
      <c r="D6" s="118">
        <v>0.9</v>
      </c>
      <c r="E6" s="118">
        <v>0</v>
      </c>
      <c r="F6" s="118">
        <v>0</v>
      </c>
      <c r="G6" s="117" t="str">
        <f t="shared" ref="G6" si="6">I$2&amp;" "&amp;B6&amp;" "&amp;H$2</f>
        <v>max. 500000 грн.</v>
      </c>
      <c r="H6" s="117">
        <f t="shared" ref="H6" si="7">B6+B6*E6</f>
        <v>500000</v>
      </c>
      <c r="I6" s="117"/>
      <c r="J6" s="117">
        <v>4</v>
      </c>
      <c r="K6" s="119">
        <f t="shared" ref="K6" si="8">D6/12/(1-1/POWER(1+D6/12,C6))*H6+H6*F6</f>
        <v>45525.039736107785</v>
      </c>
      <c r="L6" s="120">
        <v>0</v>
      </c>
      <c r="M6" s="121">
        <v>0</v>
      </c>
      <c r="N6" s="117">
        <v>5000</v>
      </c>
    </row>
    <row r="7" spans="1:14" x14ac:dyDescent="0.2">
      <c r="A7" s="117" t="s">
        <v>47</v>
      </c>
      <c r="B7" s="117">
        <v>500000</v>
      </c>
      <c r="C7" s="117">
        <v>12</v>
      </c>
      <c r="D7" s="118">
        <v>0.99</v>
      </c>
      <c r="E7" s="118">
        <v>0</v>
      </c>
      <c r="F7" s="118">
        <v>0</v>
      </c>
      <c r="G7" s="117" t="str">
        <f t="shared" ref="G7" si="9">I$2&amp;" "&amp;B7&amp;" "&amp;H$2</f>
        <v>max. 500000 грн.</v>
      </c>
      <c r="H7" s="117">
        <f t="shared" ref="H7" si="10">B7+B7*E7</f>
        <v>500000</v>
      </c>
      <c r="I7" s="117"/>
      <c r="J7" s="117">
        <v>6</v>
      </c>
      <c r="K7" s="119">
        <f t="shared" ref="K7" si="11">D7/12/(1-1/POWER(1+D7/12,C7))*H7+H7*F7</f>
        <v>67209.449439044547</v>
      </c>
      <c r="L7" s="120">
        <v>0</v>
      </c>
      <c r="M7" s="121">
        <v>0</v>
      </c>
      <c r="N7" s="117">
        <v>5000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3"/>
  <sheetViews>
    <sheetView zoomScale="70" zoomScaleNormal="70" workbookViewId="0">
      <selection activeCell="E1" sqref="E1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179" t="s">
        <v>13</v>
      </c>
      <c r="B1" s="180"/>
      <c r="C1" s="180"/>
      <c r="D1" s="181"/>
      <c r="E1" s="60">
        <v>5000</v>
      </c>
      <c r="F1" s="61" t="s">
        <v>8</v>
      </c>
      <c r="G1" s="61" t="s">
        <v>7</v>
      </c>
    </row>
    <row r="2" spans="1:8" x14ac:dyDescent="0.2">
      <c r="A2" s="62"/>
      <c r="B2" s="4"/>
      <c r="C2" s="62"/>
      <c r="D2" s="4"/>
      <c r="E2" s="63"/>
      <c r="F2" s="64"/>
      <c r="G2" s="41"/>
      <c r="H2" s="4"/>
    </row>
    <row r="3" spans="1:8" x14ac:dyDescent="0.2">
      <c r="A3" s="174" t="s">
        <v>30</v>
      </c>
      <c r="B3" s="175"/>
      <c r="C3" s="175"/>
      <c r="D3" s="176"/>
      <c r="E3" s="7"/>
      <c r="F3" s="8"/>
      <c r="G3" s="7"/>
    </row>
    <row r="4" spans="1:8" x14ac:dyDescent="0.2">
      <c r="A4" s="62"/>
      <c r="B4" s="4"/>
      <c r="C4" s="62"/>
      <c r="D4" s="4"/>
      <c r="E4" s="66"/>
      <c r="F4" s="64"/>
      <c r="G4" s="41"/>
      <c r="H4" s="4"/>
    </row>
    <row r="5" spans="1:8" x14ac:dyDescent="0.2">
      <c r="A5" s="174" t="s">
        <v>29</v>
      </c>
      <c r="B5" s="175"/>
      <c r="C5" s="175"/>
      <c r="D5" s="176"/>
      <c r="E5" s="7"/>
      <c r="F5" s="8"/>
      <c r="G5" s="8"/>
    </row>
    <row r="6" spans="1:8" x14ac:dyDescent="0.2">
      <c r="A6" s="62"/>
      <c r="B6" s="4"/>
      <c r="C6" s="62"/>
      <c r="D6" s="4"/>
      <c r="E6" s="67"/>
      <c r="F6" s="64"/>
      <c r="G6" s="41"/>
      <c r="H6" s="4"/>
    </row>
    <row r="7" spans="1:8" x14ac:dyDescent="0.2">
      <c r="A7" s="174" t="s">
        <v>31</v>
      </c>
      <c r="B7" s="175"/>
      <c r="C7" s="175"/>
      <c r="D7" s="176"/>
      <c r="E7" s="7"/>
      <c r="F7" s="8"/>
      <c r="G7" s="8"/>
    </row>
    <row r="8" spans="1:8" x14ac:dyDescent="0.2">
      <c r="A8" s="62"/>
      <c r="B8" s="4"/>
      <c r="C8" s="62"/>
      <c r="D8" s="4"/>
      <c r="E8" s="66"/>
      <c r="F8" s="64"/>
      <c r="G8" s="41"/>
      <c r="H8" s="4"/>
    </row>
    <row r="9" spans="1:8" x14ac:dyDescent="0.2">
      <c r="A9" s="174" t="s">
        <v>44</v>
      </c>
      <c r="B9" s="175"/>
      <c r="C9" s="175"/>
      <c r="D9" s="176"/>
      <c r="E9" s="68"/>
      <c r="F9" s="8"/>
      <c r="G9" s="8"/>
    </row>
    <row r="10" spans="1:8" x14ac:dyDescent="0.2">
      <c r="A10" s="69"/>
      <c r="B10" s="12"/>
      <c r="C10" s="69"/>
      <c r="D10" s="70"/>
      <c r="E10" s="46"/>
      <c r="F10" s="64"/>
      <c r="G10" s="71"/>
      <c r="H10" s="12"/>
    </row>
    <row r="11" spans="1:8" x14ac:dyDescent="0.2">
      <c r="A11" s="69"/>
      <c r="B11" s="12"/>
      <c r="C11" s="69"/>
      <c r="D11" s="72"/>
      <c r="E11" s="46"/>
      <c r="F11" s="64"/>
      <c r="G11" s="71"/>
      <c r="H11" s="12"/>
    </row>
    <row r="12" spans="1:8" x14ac:dyDescent="0.2">
      <c r="A12" s="174" t="s">
        <v>43</v>
      </c>
      <c r="B12" s="175"/>
      <c r="C12" s="175"/>
      <c r="D12" s="176"/>
      <c r="E12" s="13"/>
      <c r="F12" s="13"/>
      <c r="G12" s="14"/>
      <c r="H12" s="12"/>
    </row>
    <row r="13" spans="1:8" x14ac:dyDescent="0.2">
      <c r="A13" s="47"/>
      <c r="B13" s="47"/>
      <c r="C13" s="47"/>
      <c r="D13" s="47"/>
      <c r="E13" s="73"/>
      <c r="F13" s="74"/>
      <c r="G13" s="75"/>
      <c r="H13" s="12"/>
    </row>
    <row r="14" spans="1:8" x14ac:dyDescent="0.2">
      <c r="A14" s="174" t="s">
        <v>38</v>
      </c>
      <c r="B14" s="175"/>
      <c r="C14" s="175"/>
      <c r="D14" s="176"/>
      <c r="E14" s="58"/>
      <c r="F14" s="59"/>
      <c r="G14" s="14"/>
      <c r="H14" s="12"/>
    </row>
    <row r="15" spans="1:8" x14ac:dyDescent="0.2">
      <c r="A15" s="65"/>
      <c r="B15" s="65"/>
      <c r="C15" s="65"/>
      <c r="D15" s="65"/>
      <c r="E15" s="76"/>
      <c r="F15" s="74"/>
      <c r="G15" s="75"/>
      <c r="H15" s="12"/>
    </row>
    <row r="16" spans="1:8" x14ac:dyDescent="0.2">
      <c r="A16" s="174" t="s">
        <v>42</v>
      </c>
      <c r="B16" s="175"/>
      <c r="C16" s="175"/>
      <c r="D16" s="176"/>
      <c r="E16" s="21"/>
      <c r="F16" s="8"/>
      <c r="G16" s="8"/>
      <c r="H16" s="12"/>
    </row>
    <row r="17" spans="1:8" x14ac:dyDescent="0.2">
      <c r="A17" s="47"/>
      <c r="B17" s="47"/>
      <c r="C17" s="47"/>
      <c r="D17" s="47"/>
      <c r="E17" s="125"/>
      <c r="F17" s="126"/>
      <c r="G17" s="126"/>
      <c r="H17" s="12"/>
    </row>
    <row r="18" spans="1:8" x14ac:dyDescent="0.2">
      <c r="A18" s="47" t="s">
        <v>37</v>
      </c>
      <c r="B18" s="47"/>
      <c r="C18" s="47"/>
      <c r="D18" s="47"/>
      <c r="E18" s="125"/>
      <c r="F18" s="126"/>
      <c r="G18" s="126"/>
      <c r="H18" s="12"/>
    </row>
    <row r="19" spans="1:8" x14ac:dyDescent="0.2">
      <c r="A19" s="47"/>
      <c r="B19" s="47"/>
      <c r="C19" s="47"/>
      <c r="D19" s="47"/>
      <c r="E19" s="66"/>
      <c r="F19" s="74"/>
      <c r="G19" s="75"/>
      <c r="H19" s="12"/>
    </row>
    <row r="20" spans="1:8" ht="33.75" x14ac:dyDescent="0.2">
      <c r="A20" s="177" t="s">
        <v>5</v>
      </c>
      <c r="B20" s="178"/>
      <c r="C20" s="77" t="s">
        <v>0</v>
      </c>
      <c r="D20" s="78" t="s">
        <v>25</v>
      </c>
      <c r="E20" s="79" t="s">
        <v>10</v>
      </c>
      <c r="F20" s="79" t="s">
        <v>9</v>
      </c>
      <c r="G20" s="79" t="s">
        <v>11</v>
      </c>
      <c r="H20" s="79" t="s">
        <v>24</v>
      </c>
    </row>
    <row r="21" spans="1:8" x14ac:dyDescent="0.2">
      <c r="A21" s="182" t="s">
        <v>16</v>
      </c>
      <c r="B21" s="183"/>
      <c r="C21" s="38">
        <f>IF(ISERROR(L16),"",L16)</f>
        <v>0</v>
      </c>
      <c r="D21" s="38">
        <f>IF(ISERROR(L12),"",L12)</f>
        <v>0</v>
      </c>
      <c r="E21" s="55">
        <f>IF(ISERROR(L14),"",L14)</f>
        <v>0</v>
      </c>
      <c r="F21" s="22" t="str">
        <f>IF(ISERROR(D21/#REF!),"",D21/#REF!)</f>
        <v/>
      </c>
      <c r="G21" s="23" t="str">
        <f>IF(ISERROR(D21/#REF!/F$3),"",D21/#REF!/F$3)</f>
        <v/>
      </c>
      <c r="H21" s="23" t="str">
        <f>IF(ISERROR(C21/F$3),"",C21/F$3)</f>
        <v/>
      </c>
    </row>
    <row r="22" spans="1:8" x14ac:dyDescent="0.2">
      <c r="A22" s="182" t="s">
        <v>6</v>
      </c>
      <c r="B22" s="183"/>
      <c r="C22" s="39">
        <f>IF(ISERROR(M16),"",M16)</f>
        <v>0</v>
      </c>
      <c r="D22" s="39">
        <f>IF(ISERROR(M12),"",M12)</f>
        <v>0</v>
      </c>
      <c r="E22" s="56">
        <f>IF(ISERROR(M14),"",M14)</f>
        <v>0</v>
      </c>
      <c r="F22" s="22" t="str">
        <f>IF(ISERROR(D22/#REF!),"",D22/#REF!)</f>
        <v/>
      </c>
      <c r="G22" s="23" t="str">
        <f>IF(ISERROR(D22/#REF!/F$3),"",D22/#REF!/F$3)</f>
        <v/>
      </c>
      <c r="H22" s="23" t="str">
        <f>IF(ISERROR(C22/F$3),"",C22/F$3)</f>
        <v/>
      </c>
    </row>
    <row r="23" spans="1:8" x14ac:dyDescent="0.2">
      <c r="A23" s="182" t="s">
        <v>14</v>
      </c>
      <c r="B23" s="183"/>
      <c r="C23" s="39">
        <f>IF(ISERROR(N16),"",N16)</f>
        <v>0</v>
      </c>
      <c r="D23" s="39">
        <f>IF(ISERROR(N12),"",N12)</f>
        <v>0</v>
      </c>
      <c r="E23" s="56">
        <f>IF(ISERROR(N14),"",N14)</f>
        <v>0</v>
      </c>
      <c r="F23" s="22" t="str">
        <f>IF(ISERROR(D23/#REF!),"",D23/#REF!)</f>
        <v/>
      </c>
      <c r="G23" s="23" t="str">
        <f>IF(ISERROR(D23/#REF!/F$3),"",D23/#REF!/F$3)</f>
        <v/>
      </c>
      <c r="H23" s="23" t="str">
        <f>IF(ISERROR(C23/F$3),"",C23/F$3)</f>
        <v/>
      </c>
    </row>
    <row r="24" spans="1:8" x14ac:dyDescent="0.2">
      <c r="A24" s="182" t="s">
        <v>15</v>
      </c>
      <c r="B24" s="183"/>
      <c r="C24" s="39">
        <f>IF(ISERROR(O16),"",O16)</f>
        <v>0</v>
      </c>
      <c r="D24" s="39">
        <f>IF(ISERROR(O12),"",O12)</f>
        <v>0</v>
      </c>
      <c r="E24" s="56">
        <f>IF(ISERROR(O14),"",O14)</f>
        <v>0</v>
      </c>
      <c r="F24" s="22" t="str">
        <f>IF(ISERROR(D24/#REF!),"",D24/#REF!)</f>
        <v/>
      </c>
      <c r="G24" s="23" t="str">
        <f>IF(ISERROR(D24/#REF!/F$3),"",D24/#REF!/F$3)</f>
        <v/>
      </c>
      <c r="H24" s="23" t="str">
        <f>IF(ISERROR(C24/F$3),"",C24/F$3)</f>
        <v/>
      </c>
    </row>
    <row r="25" spans="1:8" x14ac:dyDescent="0.2">
      <c r="A25" s="62"/>
      <c r="B25" s="47"/>
      <c r="C25" s="62"/>
      <c r="D25" s="80"/>
      <c r="E25" s="4"/>
      <c r="F25" s="41"/>
      <c r="G25" s="64"/>
      <c r="H25" s="4"/>
    </row>
    <row r="26" spans="1:8" ht="13.5" thickBot="1" x14ac:dyDescent="0.25">
      <c r="A26" s="81"/>
      <c r="B26" s="47"/>
      <c r="C26" s="81"/>
      <c r="D26" s="82"/>
      <c r="E26" s="83"/>
      <c r="F26" s="75"/>
      <c r="G26" s="74"/>
      <c r="H26" s="12"/>
    </row>
    <row r="27" spans="1:8" ht="18.75" thickBot="1" x14ac:dyDescent="0.25">
      <c r="A27" s="185" t="s">
        <v>36</v>
      </c>
      <c r="B27" s="186"/>
      <c r="C27" s="186"/>
      <c r="D27" s="186"/>
      <c r="E27" s="186"/>
      <c r="F27" s="186"/>
      <c r="G27" s="187"/>
    </row>
    <row r="28" spans="1:8" ht="45.75" thickBot="1" x14ac:dyDescent="0.25">
      <c r="A28" s="188" t="s">
        <v>2</v>
      </c>
      <c r="B28" s="189"/>
      <c r="C28" s="84" t="s">
        <v>34</v>
      </c>
      <c r="D28" s="84" t="s">
        <v>32</v>
      </c>
      <c r="E28" s="84" t="s">
        <v>33</v>
      </c>
      <c r="F28" s="190" t="s">
        <v>35</v>
      </c>
      <c r="G28" s="191"/>
    </row>
    <row r="29" spans="1:8" x14ac:dyDescent="0.2">
      <c r="A29" s="4"/>
      <c r="B29" s="4"/>
      <c r="C29" s="4"/>
      <c r="D29" s="4"/>
      <c r="E29" s="4"/>
      <c r="F29" s="41"/>
      <c r="G29" s="64"/>
    </row>
    <row r="30" spans="1:8" x14ac:dyDescent="0.2">
      <c r="A30" s="4" t="s">
        <v>3</v>
      </c>
      <c r="B30" s="85"/>
      <c r="C30" s="86"/>
      <c r="D30" s="184"/>
      <c r="E30" s="184"/>
      <c r="F30" s="184"/>
      <c r="G30" s="64"/>
    </row>
    <row r="31" spans="1:8" x14ac:dyDescent="0.2">
      <c r="A31" s="4" t="s">
        <v>4</v>
      </c>
      <c r="B31" s="87"/>
      <c r="C31" s="4"/>
      <c r="D31" s="33"/>
      <c r="E31" s="34"/>
      <c r="F31" s="88"/>
      <c r="G31" s="64"/>
    </row>
    <row r="33" spans="1:2" x14ac:dyDescent="0.2">
      <c r="A33" t="s">
        <v>26</v>
      </c>
      <c r="B33">
        <v>30.4</v>
      </c>
    </row>
  </sheetData>
  <sheetProtection password="B631" sheet="1" objects="1" scenarios="1" selectLockedCells="1"/>
  <mergeCells count="17">
    <mergeCell ref="A21:B21"/>
    <mergeCell ref="A22:B22"/>
    <mergeCell ref="D30:F30"/>
    <mergeCell ref="A24:B24"/>
    <mergeCell ref="A27:G27"/>
    <mergeCell ref="A28:B28"/>
    <mergeCell ref="F28:G28"/>
    <mergeCell ref="A23:B23"/>
    <mergeCell ref="A12:D12"/>
    <mergeCell ref="A14:D14"/>
    <mergeCell ref="A16:D16"/>
    <mergeCell ref="A20:B20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Мобільний_для лідогенераторів</vt:lpstr>
      <vt:lpstr>Лист2</vt:lpstr>
      <vt:lpstr>Назви</vt:lpstr>
      <vt:lpstr>'Мобільний_для лідогенераторів'!Область_друку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2020-02-12T09:25:28Z</cp:lastPrinted>
  <dcterms:created xsi:type="dcterms:W3CDTF">2008-03-13T06:51:50Z</dcterms:created>
  <dcterms:modified xsi:type="dcterms:W3CDTF">2025-09-12T13:03:39Z</dcterms:modified>
</cp:coreProperties>
</file>