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5D67C650-0E7D-4AAC-B08F-2CAC4D1702D5}" xr6:coauthVersionLast="47" xr6:coauthVersionMax="47" xr10:uidLastSave="{00000000-0000-0000-0000-000000000000}"/>
  <workbookProtection workbookAlgorithmName="SHA-512" workbookHashValue="4crk6i6aQslbtPN8aUbTx8ytcGFtA4XeZUhiBiorKEOg9YUt4iuEVUjx0Jsg1RhMBgbmbTRWYCeeS2bsUJgcrQ==" workbookSaltValue="M0qo7SzfE9IeIyM2LjYRTw==" workbookSpinCount="100000" lockStructure="1"/>
  <bookViews>
    <workbookView xWindow="-120" yWindow="-120" windowWidth="29040" windowHeight="15990" tabRatio="863" xr2:uid="{00000000-000D-0000-FFFF-FFFF00000000}"/>
  </bookViews>
  <sheets>
    <sheet name="Satellite_Жжук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Satellite_Жжук!$A$1:$I$103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H5" i="165"/>
  <c r="H4" i="165"/>
  <c r="E2" i="164" l="1"/>
  <c r="G5" i="165"/>
  <c r="G4" i="165"/>
  <c r="H3" i="164"/>
  <c r="F2" i="164" l="1"/>
  <c r="G39" i="164"/>
  <c r="L8" i="164" l="1"/>
  <c r="L9" i="164"/>
  <c r="M5" i="165"/>
  <c r="L5" i="165"/>
  <c r="L17" i="164" l="1"/>
  <c r="L12" i="164" l="1"/>
  <c r="L13" i="164"/>
  <c r="L14" i="164"/>
  <c r="L15" i="164"/>
  <c r="L16" i="164"/>
  <c r="G2" i="164" l="1"/>
  <c r="B28" i="164"/>
  <c r="B26" i="164"/>
  <c r="B24" i="164"/>
  <c r="B11" i="164"/>
  <c r="F17" i="164" l="1"/>
  <c r="L10" i="164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G3" i="164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58" i="164" l="1"/>
  <c r="F62" i="164"/>
  <c r="F66" i="164"/>
  <c r="F70" i="164"/>
  <c r="F74" i="164"/>
  <c r="F78" i="164"/>
  <c r="F82" i="164"/>
  <c r="F86" i="164"/>
  <c r="F90" i="164"/>
  <c r="F94" i="164"/>
  <c r="F98" i="164"/>
  <c r="F60" i="164"/>
  <c r="F68" i="164"/>
  <c r="F76" i="164"/>
  <c r="F80" i="164"/>
  <c r="F88" i="164"/>
  <c r="F96" i="164"/>
  <c r="F61" i="164"/>
  <c r="F65" i="164"/>
  <c r="F69" i="164"/>
  <c r="F73" i="164"/>
  <c r="F77" i="164"/>
  <c r="F81" i="164"/>
  <c r="F85" i="164"/>
  <c r="F89" i="164"/>
  <c r="F93" i="164"/>
  <c r="F97" i="164"/>
  <c r="F59" i="164"/>
  <c r="F63" i="164"/>
  <c r="F67" i="164"/>
  <c r="F71" i="164"/>
  <c r="F75" i="164"/>
  <c r="F79" i="164"/>
  <c r="F83" i="164"/>
  <c r="F87" i="164"/>
  <c r="F91" i="164"/>
  <c r="F95" i="164"/>
  <c r="F99" i="164"/>
  <c r="F64" i="164"/>
  <c r="F72" i="164"/>
  <c r="F84" i="164"/>
  <c r="F92" i="164"/>
  <c r="D60" i="164"/>
  <c r="D64" i="164"/>
  <c r="D68" i="164"/>
  <c r="D72" i="164"/>
  <c r="D76" i="164"/>
  <c r="D80" i="164"/>
  <c r="D84" i="164"/>
  <c r="D88" i="164"/>
  <c r="D92" i="164"/>
  <c r="D96" i="164"/>
  <c r="D61" i="164"/>
  <c r="D65" i="164"/>
  <c r="D69" i="164"/>
  <c r="D73" i="164"/>
  <c r="D77" i="164"/>
  <c r="D81" i="164"/>
  <c r="D85" i="164"/>
  <c r="D89" i="164"/>
  <c r="D93" i="164"/>
  <c r="D97" i="164"/>
  <c r="D58" i="164"/>
  <c r="D62" i="164"/>
  <c r="D66" i="164"/>
  <c r="D70" i="164"/>
  <c r="D74" i="164"/>
  <c r="D78" i="164"/>
  <c r="D82" i="164"/>
  <c r="D86" i="164"/>
  <c r="D90" i="164"/>
  <c r="D94" i="164"/>
  <c r="D98" i="164"/>
  <c r="D59" i="164"/>
  <c r="D63" i="164"/>
  <c r="D67" i="164"/>
  <c r="D71" i="164"/>
  <c r="D75" i="164"/>
  <c r="D79" i="164"/>
  <c r="D83" i="164"/>
  <c r="D87" i="164"/>
  <c r="D91" i="164"/>
  <c r="D95" i="164"/>
  <c r="D99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E22" i="164"/>
  <c r="F7" i="164"/>
  <c r="F54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6" i="164" l="1"/>
  <c r="F57" i="164"/>
  <c r="D57" i="164"/>
  <c r="F56" i="164"/>
  <c r="F55" i="164"/>
  <c r="D55" i="164"/>
  <c r="D54" i="164"/>
  <c r="D52" i="164"/>
  <c r="F41" i="164"/>
  <c r="F45" i="164"/>
  <c r="F49" i="164"/>
  <c r="F53" i="164"/>
  <c r="F46" i="164"/>
  <c r="F50" i="164"/>
  <c r="F47" i="164"/>
  <c r="F51" i="164"/>
  <c r="F48" i="164"/>
  <c r="F52" i="164"/>
  <c r="F40" i="164"/>
  <c r="F42" i="164"/>
  <c r="F100" i="164" s="1"/>
  <c r="F43" i="164"/>
  <c r="F44" i="164"/>
  <c r="D53" i="164"/>
  <c r="D41" i="164"/>
  <c r="D45" i="164"/>
  <c r="D49" i="164"/>
  <c r="D44" i="164"/>
  <c r="D42" i="164"/>
  <c r="D46" i="164"/>
  <c r="D50" i="164"/>
  <c r="D48" i="164"/>
  <c r="D43" i="164"/>
  <c r="D47" i="164"/>
  <c r="D51" i="164"/>
  <c r="E3" i="164"/>
  <c r="F3" i="164" s="1"/>
  <c r="E71" i="164"/>
  <c r="E44" i="164"/>
  <c r="E82" i="164"/>
  <c r="E87" i="164"/>
  <c r="E86" i="164"/>
  <c r="E77" i="164"/>
  <c r="G83" i="164"/>
  <c r="G79" i="164"/>
  <c r="G75" i="164"/>
  <c r="G84" i="164"/>
  <c r="G80" i="164"/>
  <c r="G76" i="164"/>
  <c r="G64" i="164"/>
  <c r="G85" i="164"/>
  <c r="G81" i="164"/>
  <c r="G78" i="164"/>
  <c r="G66" i="164"/>
  <c r="D40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59" i="164" l="1"/>
  <c r="G71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<sst xmlns="http://schemas.openxmlformats.org/spreadsheetml/2006/main" count="170" uniqueCount="162">
  <si>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</si>
  <si>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</si>
  <si>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</si>
  <si>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</si>
  <si>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</si>
  <si>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</si>
  <si>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</si>
  <si>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</si>
  <si>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</si>
  <si>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</si>
  <si>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</si>
  <si>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</si>
  <si>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</si>
  <si>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</si>
  <si>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</si>
  <si>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</si>
  <si>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</si>
  <si>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</si>
  <si>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</si>
  <si>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</si>
  <si>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</si>
  <si>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</si>
  <si>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</si>
  <si>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</si>
  <si>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</si>
  <si>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</si>
  <si>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</si>
  <si>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</si>
  <si>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</si>
  <si>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</si>
  <si>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</si>
  <si>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</si>
  <si>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</si>
  <si>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</si>
  <si>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</si>
  <si>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</si>
  <si>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</si>
  <si>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</si>
  <si>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</si>
  <si>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</si>
  <si>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</si>
  <si>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</si>
  <si>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</si>
  <si>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</si>
  <si>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</si>
  <si>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</si>
  <si>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</si>
  <si>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</si>
  <si>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</si>
  <si>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</si>
  <si>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</si>
  <si>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</si>
  <si>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</si>
  <si>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</si>
  <si>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</si>
  <si>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</si>
  <si>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</si>
  <si>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</si>
  <si>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</si>
  <si>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</si>
  <si>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</si>
  <si>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</si>
  <si>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</si>
  <si>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</si>
  <si>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</si>
  <si>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</si>
  <si>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</si>
  <si>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</si>
  <si>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</si>
  <si>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</si>
  <si>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</si>
  <si>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</si>
  <si>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</si>
  <si>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</si>
  <si>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</si>
  <si>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</si>
  <si>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</si>
  <si>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</si>
  <si>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</si>
  <si>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</si>
  <si>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</si>
  <si>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</si>
  <si>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</si>
  <si>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</si>
  <si>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</si>
  <si>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</si>
  <si>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</si>
  <si>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</si>
  <si>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</si>
  <si>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</si>
  <si>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</si>
  <si>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</si>
  <si>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</si>
  <si>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</si>
  <si>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</si>
  <si>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</si>
  <si>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</si>
  <si>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</si>
  <si>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</si>
  <si>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</si>
  <si>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</si>
  <si>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</si>
  <si>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</si>
  <si>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</si>
  <si>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</si>
  <si>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</si>
  <si>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</si>
  <si>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</si>
  <si>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</si>
  <si>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</si>
  <si>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</si>
  <si>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</si>
  <si>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</si>
  <si>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</si>
  <si>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</si>
  <si>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</si>
  <si>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</si>
  <si>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</si>
  <si>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</si>
  <si>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</si>
  <si>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</si>
  <si>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</si>
  <si>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</si>
  <si>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</si>
  <si>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</si>
  <si>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</si>
  <si>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</si>
  <si>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</si>
  <si>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</si>
  <si>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</si>
  <si>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</si>
  <si>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</si>
  <si>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</si>
  <si>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</si>
  <si>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</si>
  <si>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</si>
  <si>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</si>
  <si>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</si>
  <si>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</si>
  <si>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</si>
  <si>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</si>
  <si>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</si>
  <si>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</si>
  <si>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</si>
  <si>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</si>
  <si>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</si>
  <si>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</si>
  <si>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</si>
  <si>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</si>
  <si>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</si>
  <si>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</si>
  <si>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</si>
  <si>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</si>
  <si>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</si>
  <si>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</si>
  <si>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</si>
  <si>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</si>
  <si>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</si>
  <si>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</si>
  <si>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</si>
  <si>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Osnova_Жжук_Satellite_0-6-18</t>
  </si>
  <si>
    <t>Osnova_Жжук_Satellite_0-3-18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</si>
</sst>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7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168" fontId="3" fillId="0" borderId="13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80" fontId="3" fillId="0" borderId="1" xfId="49" applyNumberFormat="1" applyBorder="1"/>
    <xf numFmtId="2" fontId="0" fillId="10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19049</xdr:rowOff>
    </xdr:from>
    <xdr:to>
      <xdr:col>3</xdr:col>
      <xdr:colOff>981075</xdr:colOff>
      <xdr:row>3</xdr:row>
      <xdr:rowOff>114299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19049"/>
          <a:ext cx="22764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8.42578125" style="4" bestFit="1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1" t="s">
        <v>48</v>
      </c>
      <c r="I1" s="211"/>
    </row>
    <row r="2" spans="1:45" ht="12.75" customHeight="1" x14ac:dyDescent="0.2">
      <c r="A2" s="2"/>
      <c r="B2" s="88"/>
      <c r="C2" s="88"/>
      <c r="D2" s="88"/>
      <c r="E2" s="108">
        <f>VLOOKUP(Satellite_Жжук!H2,Лист2!A:P,16,FALSE)</f>
        <v>1000</v>
      </c>
      <c r="F2" s="130">
        <f>VLOOKUP(H$2,Лист2!$A:$H,8,0)</f>
        <v>100000</v>
      </c>
      <c r="G2" s="175">
        <f ca="1">TODAY()</f>
        <v>45901</v>
      </c>
      <c r="H2" s="217" t="s">
        <v>160</v>
      </c>
      <c r="I2" s="218"/>
      <c r="J2" s="35"/>
    </row>
    <row r="3" spans="1:45" ht="13.7" customHeight="1" thickBot="1" x14ac:dyDescent="0.25">
      <c r="A3" s="2"/>
      <c r="B3" s="88"/>
      <c r="C3" s="88"/>
      <c r="D3" s="88"/>
      <c r="E3" s="109">
        <f>IF(F7&lt;E2,"x",IF(F7&gt;F2,"y",F5))</f>
        <v>50000</v>
      </c>
      <c r="F3" s="219" t="str">
        <f>IF(E3="x","Збільшіть суму",IF(E3="y","Зменшіть суму",""))</f>
        <v/>
      </c>
      <c r="G3" s="131">
        <f>Назви!B32</f>
        <v>30.4</v>
      </c>
      <c r="H3" s="221">
        <f>VLOOKUP(H$2,Лист2!$A:$H,8,0)</f>
        <v>100000</v>
      </c>
      <c r="I3" s="222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8"/>
      <c r="F4" s="220"/>
      <c r="G4" s="111"/>
      <c r="H4" s="160"/>
      <c r="I4" s="119"/>
      <c r="J4" s="35"/>
      <c r="AA4" s="51"/>
    </row>
    <row r="5" spans="1:45" ht="21" thickBot="1" x14ac:dyDescent="0.25">
      <c r="A5" s="1"/>
      <c r="B5" s="223" t="s">
        <v>42</v>
      </c>
      <c r="C5" s="224"/>
      <c r="D5" s="224"/>
      <c r="E5" s="225"/>
      <c r="F5" s="159">
        <v>50000</v>
      </c>
      <c r="G5" s="166" t="s">
        <v>27</v>
      </c>
      <c r="H5" s="167"/>
      <c r="I5" s="119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6"/>
      <c r="B6" s="186"/>
      <c r="C6" s="186"/>
      <c r="D6" s="186"/>
      <c r="E6" s="186"/>
      <c r="F6" s="186"/>
      <c r="G6" s="186"/>
      <c r="H6" s="186"/>
      <c r="I6" s="168"/>
      <c r="J6" s="155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4" t="s">
        <v>43</v>
      </c>
      <c r="C7" s="215"/>
      <c r="D7" s="215"/>
      <c r="E7" s="216"/>
      <c r="F7" s="161">
        <f>F5+F5*F11+F15+F5*F17</f>
        <v>50500</v>
      </c>
      <c r="G7" s="162"/>
      <c r="H7" s="163"/>
      <c r="I7" s="42"/>
      <c r="J7" s="4"/>
      <c r="K7" s="37"/>
      <c r="L7" s="51" t="str">
        <f>Лист2!A4</f>
        <v>Osnova_Жжук_Satellite_0-6-18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2"/>
      <c r="B8" s="212"/>
      <c r="C8" s="212"/>
      <c r="D8" s="212"/>
      <c r="E8" s="212"/>
      <c r="F8" s="186"/>
      <c r="G8" s="212"/>
      <c r="H8" s="212"/>
      <c r="I8" s="212"/>
      <c r="J8" s="4"/>
      <c r="K8" s="37"/>
      <c r="L8" s="51" t="str">
        <f>Лист2!A5</f>
        <v>Osnova_Жжук_Satellite_0-3-18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6" t="str">
        <f>Назви!A3</f>
        <v>Процентна ставка, % річних</v>
      </c>
      <c r="C9" s="227">
        <f>Назви!B3</f>
        <v>0</v>
      </c>
      <c r="D9" s="227">
        <f>Назви!C3</f>
        <v>0</v>
      </c>
      <c r="E9" s="227">
        <f>Назви!D3</f>
        <v>0</v>
      </c>
      <c r="F9" s="132">
        <f>VLOOKUP(H$2,Лист2!$A:$G,4,0)</f>
        <v>1E-4</v>
      </c>
      <c r="G9" s="169"/>
      <c r="H9" s="164"/>
      <c r="I9" s="165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3"/>
      <c r="C10" s="134"/>
      <c r="D10" s="133"/>
      <c r="E10" s="134"/>
      <c r="F10" s="135"/>
      <c r="G10" s="170"/>
      <c r="H10" s="137"/>
      <c r="I10" s="148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5" t="str">
        <f>Назви!A5</f>
        <v>Разовий страховий тариф, %</v>
      </c>
      <c r="C11" s="194">
        <f>Назви!B5</f>
        <v>0</v>
      </c>
      <c r="D11" s="194">
        <f>Назви!C5</f>
        <v>0</v>
      </c>
      <c r="E11" s="194">
        <f>Назви!D5</f>
        <v>0</v>
      </c>
      <c r="F11" s="132">
        <f>VLOOKUP(H$2,Лист2!$A:$G,5,0)</f>
        <v>0</v>
      </c>
      <c r="G11" s="173"/>
      <c r="H11" s="171"/>
      <c r="I11" s="119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6"/>
      <c r="B12" s="186"/>
      <c r="C12" s="186"/>
      <c r="D12" s="186"/>
      <c r="E12" s="186"/>
      <c r="F12" s="186"/>
      <c r="G12" s="186"/>
      <c r="H12" s="186"/>
      <c r="I12" s="186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4" t="s">
        <v>41</v>
      </c>
      <c r="C13" s="184"/>
      <c r="D13" s="184"/>
      <c r="E13" s="185"/>
      <c r="F13" s="138">
        <f>VLOOKUP(H$2,Лист2!$A:$J,9,0)</f>
        <v>6</v>
      </c>
      <c r="G13" s="173"/>
      <c r="H13" s="171"/>
      <c r="I13" s="119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3"/>
      <c r="B14" s="213"/>
      <c r="C14" s="213"/>
      <c r="D14" s="213"/>
      <c r="E14" s="213"/>
      <c r="F14" s="213"/>
      <c r="G14" s="213"/>
      <c r="H14" s="213"/>
      <c r="I14" s="213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4" t="s">
        <v>39</v>
      </c>
      <c r="C15" s="184"/>
      <c r="D15" s="184"/>
      <c r="E15" s="185"/>
      <c r="F15" s="154">
        <f>VLOOKUP(H$2,Лист2!$A:$J,10,0)</f>
        <v>500</v>
      </c>
      <c r="G15" s="173"/>
      <c r="H15" s="171"/>
      <c r="I15" s="119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6"/>
      <c r="B16" s="186"/>
      <c r="C16" s="186"/>
      <c r="D16" s="186"/>
      <c r="E16" s="186"/>
      <c r="F16" s="186"/>
      <c r="G16" s="186"/>
      <c r="H16" s="186"/>
      <c r="I16" s="119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4" t="s">
        <v>40</v>
      </c>
      <c r="C17" s="184"/>
      <c r="D17" s="184"/>
      <c r="E17" s="184"/>
      <c r="F17" s="132">
        <f>VLOOKUP(H$2,Лист2!$A:$K,11,0)</f>
        <v>0</v>
      </c>
      <c r="G17" s="136"/>
      <c r="H17" s="137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6"/>
      <c r="B18" s="186"/>
      <c r="C18" s="186"/>
      <c r="D18" s="186"/>
      <c r="E18" s="186"/>
      <c r="F18" s="186"/>
      <c r="G18" s="186"/>
      <c r="H18" s="186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5" t="str">
        <f>Назви!A7</f>
        <v xml:space="preserve">Щомісячна плата за обслуговування кредитної заборгованості, % </v>
      </c>
      <c r="C19" s="194">
        <f>Назви!B7</f>
        <v>0</v>
      </c>
      <c r="D19" s="194">
        <f>Назви!C7</f>
        <v>0</v>
      </c>
      <c r="E19" s="195">
        <f>Назви!D7</f>
        <v>0</v>
      </c>
      <c r="F19" s="132">
        <f>VLOOKUP(H$2,Лист2!$A:$G,6,0)</f>
        <v>3.9E-2</v>
      </c>
      <c r="G19" s="173"/>
      <c r="H19" s="171"/>
      <c r="I19" s="119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3"/>
      <c r="C20" s="134"/>
      <c r="D20" s="133"/>
      <c r="E20" s="134"/>
      <c r="F20" s="135"/>
      <c r="G20" s="136"/>
      <c r="H20" s="137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5" t="str">
        <f>Назви!A9</f>
        <v>Термін кредитування (міс.)</v>
      </c>
      <c r="C21" s="194">
        <f>Назви!B9</f>
        <v>0</v>
      </c>
      <c r="D21" s="194">
        <f>Назви!C9</f>
        <v>0</v>
      </c>
      <c r="E21" s="195">
        <f>Назви!D9</f>
        <v>0</v>
      </c>
      <c r="F21" s="139">
        <f>VLOOKUP(H$2,Лист2!$A:$G,3,0)</f>
        <v>18</v>
      </c>
      <c r="G21" s="173"/>
      <c r="H21" s="171"/>
      <c r="I21" s="119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0"/>
      <c r="D22" s="102"/>
      <c r="E22" s="146">
        <f>F5*F11</f>
        <v>0</v>
      </c>
      <c r="F22" s="110"/>
      <c r="G22" s="136"/>
      <c r="H22" s="137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0"/>
      <c r="D23" s="102"/>
      <c r="E23" s="147">
        <f>E22+E3</f>
        <v>50000</v>
      </c>
      <c r="F23" s="110"/>
      <c r="G23" s="136"/>
      <c r="H23" s="137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89" t="str">
        <f>Назви!A14</f>
        <v>Орієнтовні загальні витрати за кредитом, грн.</v>
      </c>
      <c r="C24" s="190"/>
      <c r="D24" s="190"/>
      <c r="E24" s="190"/>
      <c r="F24" s="158">
        <f>G100-F5</f>
        <v>24141.575000000012</v>
      </c>
      <c r="G24" s="136"/>
      <c r="H24" s="137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3"/>
      <c r="C25" s="133"/>
      <c r="D25" s="133"/>
      <c r="E25" s="133"/>
      <c r="F25" s="141"/>
      <c r="G25" s="136"/>
      <c r="H25" s="137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89" t="str">
        <f>Назви!A16</f>
        <v>Орієнтовна загальна вартість кредиту, грн.</v>
      </c>
      <c r="C26" s="190">
        <f>Назви!B14</f>
        <v>0</v>
      </c>
      <c r="D26" s="190">
        <f>Назви!C14</f>
        <v>0</v>
      </c>
      <c r="E26" s="191">
        <f>Назви!D14</f>
        <v>0</v>
      </c>
      <c r="F26" s="142">
        <f>F5+F24</f>
        <v>74141.575000000012</v>
      </c>
      <c r="G26" s="174"/>
      <c r="H26" s="172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3"/>
      <c r="C27" s="143"/>
      <c r="D27" s="143"/>
      <c r="E27" s="143"/>
      <c r="F27" s="144"/>
      <c r="G27" s="136"/>
      <c r="H27" s="137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89" t="str">
        <f>Назви!A18</f>
        <v>Реальна річна процентна ставка, %</v>
      </c>
      <c r="C28" s="190">
        <f>Назви!B16</f>
        <v>0</v>
      </c>
      <c r="D28" s="190">
        <f>Назви!C16</f>
        <v>0</v>
      </c>
      <c r="E28" s="191">
        <f>Назви!D16</f>
        <v>0</v>
      </c>
      <c r="F28" s="145">
        <f ca="1">XIRR(G39:G87,C39:C87)</f>
        <v>0.6073229134082796</v>
      </c>
      <c r="G28" s="173"/>
      <c r="H28" s="171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3"/>
      <c r="C29" s="113"/>
      <c r="D29" s="113"/>
      <c r="E29" s="113"/>
      <c r="F29" s="114"/>
      <c r="G29" s="96"/>
      <c r="H29" s="111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2" t="str">
        <f>Назви!A19</f>
        <v>Інший термін</v>
      </c>
      <c r="C30" s="193">
        <f>Назви!B19</f>
        <v>0</v>
      </c>
      <c r="D30" s="120" t="str">
        <f>Назви!C19</f>
        <v>Щомісячний платіж</v>
      </c>
      <c r="E30" s="121" t="str">
        <f>Назви!D19</f>
        <v>Переплата у грн.               за весь період</v>
      </c>
      <c r="F30" s="122" t="str">
        <f>Назви!E19</f>
        <v>Переплата у відсотках за весь період</v>
      </c>
      <c r="G30" s="122" t="str">
        <f>Назви!F19</f>
        <v>Переплата в місяць</v>
      </c>
      <c r="H30" s="122" t="str">
        <f>Назви!G19</f>
        <v>Переплата в день</v>
      </c>
      <c r="I30" s="122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7" t="s">
        <v>32</v>
      </c>
      <c r="C31" s="188"/>
      <c r="D31" s="123">
        <f>IF(ISERROR(M28),"",M28)</f>
        <v>0</v>
      </c>
      <c r="E31" s="123" t="str">
        <f>IF(ISERROR(#REF!),"",#REF!)</f>
        <v/>
      </c>
      <c r="F31" s="124">
        <f>IF(ISERROR(M26),"",M26)</f>
        <v>0</v>
      </c>
      <c r="G31" s="125" t="str">
        <f>IF(ISERROR(E31/A31),"",E31/A31)</f>
        <v/>
      </c>
      <c r="H31" s="126" t="str">
        <f>IF(ISERROR(E31/A31/G$3),"",E31/A31/G$3)</f>
        <v/>
      </c>
      <c r="I31" s="127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7" t="s">
        <v>33</v>
      </c>
      <c r="C32" s="188"/>
      <c r="D32" s="128">
        <f>IF(ISERROR(N28),"",N28)</f>
        <v>0</v>
      </c>
      <c r="E32" s="128" t="str">
        <f>IF(ISERROR(#REF!),"",#REF!)</f>
        <v/>
      </c>
      <c r="F32" s="129">
        <f>IF(ISERROR(N26),"",N26)</f>
        <v>0</v>
      </c>
      <c r="G32" s="125" t="str">
        <f>IF(ISERROR(E32/A32),"",E32/A32)</f>
        <v/>
      </c>
      <c r="H32" s="126" t="str">
        <f>IF(ISERROR(E32/A32/G$3),"",E32/A32/G$3)</f>
        <v/>
      </c>
      <c r="I32" s="127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7" t="s">
        <v>9</v>
      </c>
      <c r="C33" s="188"/>
      <c r="D33" s="128">
        <f>IF(ISERROR(O28),"",O28)</f>
        <v>0</v>
      </c>
      <c r="E33" s="128" t="str">
        <f>IF(ISERROR(#REF!),"",#REF!)</f>
        <v/>
      </c>
      <c r="F33" s="129">
        <f>IF(ISERROR(O26),"",O26)</f>
        <v>0</v>
      </c>
      <c r="G33" s="125" t="str">
        <f>IF(ISERROR(E33/A33),"",E33/A33)</f>
        <v/>
      </c>
      <c r="H33" s="126" t="str">
        <f>IF(ISERROR(E33/A33/G$3),"",E33/A33/G$3)</f>
        <v/>
      </c>
      <c r="I33" s="127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7"/>
      <c r="C34" s="188"/>
      <c r="D34" s="128">
        <f>IF(ISERROR(P28),"",P28)</f>
        <v>0</v>
      </c>
      <c r="E34" s="128" t="str">
        <f>IF(ISERROR(#REF!),"",#REF!)</f>
        <v/>
      </c>
      <c r="F34" s="129">
        <f>IF(ISERROR(P26),"",P26)</f>
        <v>0</v>
      </c>
      <c r="G34" s="125" t="str">
        <f>IF(ISERROR(E34/A34),"",E34/A34)</f>
        <v/>
      </c>
      <c r="H34" s="126" t="str">
        <f>IF(ISERROR(E34/A34/G$3),"",E34/A34/G$3)</f>
        <v/>
      </c>
      <c r="I34" s="127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3"/>
      <c r="D35" s="94"/>
      <c r="E35" s="112"/>
      <c r="F35" s="42"/>
      <c r="G35" s="111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7" t="str">
        <f>Назви!A26</f>
        <v xml:space="preserve">ГРАФІК СПЛАТИ КРЕДИТУ </v>
      </c>
      <c r="C37" s="198"/>
      <c r="D37" s="198"/>
      <c r="E37" s="198"/>
      <c r="F37" s="198"/>
      <c r="G37" s="198"/>
      <c r="H37" s="199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0" t="str">
        <f>Назви!A27</f>
        <v>Місяць</v>
      </c>
      <c r="C38" s="201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0" t="str">
        <f>Назви!F27</f>
        <v>Загальна сума внесків до повернення в місяць, грн.</v>
      </c>
      <c r="H38" s="201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5" hidden="1" thickBot="1" x14ac:dyDescent="0.25">
      <c r="A39" s="1"/>
      <c r="B39" s="90">
        <v>0</v>
      </c>
      <c r="C39" s="157">
        <f ca="1">TODAY()</f>
        <v>45901</v>
      </c>
      <c r="D39" s="91"/>
      <c r="E39" s="92"/>
      <c r="F39" s="91"/>
      <c r="G39" s="156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45931</v>
      </c>
      <c r="D40" s="19">
        <f>IF(B40&lt;=$F$21,$F$7/$F$21,0)</f>
        <v>2805.5555555555557</v>
      </c>
      <c r="E40" s="182">
        <f>IF(AND(B40&gt;F$13,B40&lt;=$F$21),F$7*F$19,0)</f>
        <v>0</v>
      </c>
      <c r="F40" s="182">
        <f>IF(B40&lt;=$F$21,F$7*F$9/12,0)</f>
        <v>0.42083333333333334</v>
      </c>
      <c r="G40" s="196">
        <f t="shared" ref="G40:G71" si="0">IF(B$40&lt;=F$21,D40+E40+F40,0)</f>
        <v>2805.9763888888888</v>
      </c>
      <c r="H40" s="196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45962</v>
      </c>
      <c r="D41" s="19">
        <f t="shared" ref="D41:D99" si="2">IF(B41&lt;=$F$21,$F$7/$F$21,0)</f>
        <v>2805.5555555555557</v>
      </c>
      <c r="E41" s="20">
        <f t="shared" ref="E41:E99" si="3">IF(AND(B41&gt;F$13,B41&lt;=$F$21),F$7*F$19,0)</f>
        <v>0</v>
      </c>
      <c r="F41" s="182">
        <f t="shared" ref="F41:F99" si="4">IF(B41&lt;=$F$21,F$7*F$9/12,0)</f>
        <v>0.42083333333333334</v>
      </c>
      <c r="G41" s="196">
        <f t="shared" si="0"/>
        <v>2805.9763888888888</v>
      </c>
      <c r="H41" s="196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45992</v>
      </c>
      <c r="D42" s="19">
        <f t="shared" si="2"/>
        <v>2805.5555555555557</v>
      </c>
      <c r="E42" s="20">
        <f t="shared" si="3"/>
        <v>0</v>
      </c>
      <c r="F42" s="182">
        <f t="shared" si="4"/>
        <v>0.42083333333333334</v>
      </c>
      <c r="G42" s="196">
        <f t="shared" si="0"/>
        <v>2805.9763888888888</v>
      </c>
      <c r="H42" s="196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46023</v>
      </c>
      <c r="D43" s="19">
        <f t="shared" si="2"/>
        <v>2805.5555555555557</v>
      </c>
      <c r="E43" s="20">
        <f t="shared" si="3"/>
        <v>0</v>
      </c>
      <c r="F43" s="182">
        <f t="shared" si="4"/>
        <v>0.42083333333333334</v>
      </c>
      <c r="G43" s="196">
        <f t="shared" si="0"/>
        <v>2805.9763888888888</v>
      </c>
      <c r="H43" s="196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46054</v>
      </c>
      <c r="D44" s="19">
        <f t="shared" si="2"/>
        <v>2805.5555555555557</v>
      </c>
      <c r="E44" s="20">
        <f t="shared" si="3"/>
        <v>0</v>
      </c>
      <c r="F44" s="182">
        <f t="shared" si="4"/>
        <v>0.42083333333333334</v>
      </c>
      <c r="G44" s="196">
        <f t="shared" si="0"/>
        <v>2805.9763888888888</v>
      </c>
      <c r="H44" s="196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46082</v>
      </c>
      <c r="D45" s="19">
        <f t="shared" si="2"/>
        <v>2805.5555555555557</v>
      </c>
      <c r="E45" s="20">
        <f t="shared" si="3"/>
        <v>0</v>
      </c>
      <c r="F45" s="182">
        <f t="shared" si="4"/>
        <v>0.42083333333333334</v>
      </c>
      <c r="G45" s="196">
        <f t="shared" si="0"/>
        <v>2805.9763888888888</v>
      </c>
      <c r="H45" s="196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46113</v>
      </c>
      <c r="D46" s="19">
        <f t="shared" si="2"/>
        <v>2805.5555555555557</v>
      </c>
      <c r="E46" s="20">
        <f t="shared" si="3"/>
        <v>1969.5</v>
      </c>
      <c r="F46" s="182">
        <f t="shared" si="4"/>
        <v>0.42083333333333334</v>
      </c>
      <c r="G46" s="196">
        <f t="shared" si="0"/>
        <v>4775.4763888888892</v>
      </c>
      <c r="H46" s="196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46143</v>
      </c>
      <c r="D47" s="19">
        <f t="shared" si="2"/>
        <v>2805.5555555555557</v>
      </c>
      <c r="E47" s="20">
        <f t="shared" si="3"/>
        <v>1969.5</v>
      </c>
      <c r="F47" s="182">
        <f t="shared" si="4"/>
        <v>0.42083333333333334</v>
      </c>
      <c r="G47" s="196">
        <f t="shared" si="0"/>
        <v>4775.4763888888892</v>
      </c>
      <c r="H47" s="196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46174</v>
      </c>
      <c r="D48" s="19">
        <f t="shared" si="2"/>
        <v>2805.5555555555557</v>
      </c>
      <c r="E48" s="20">
        <f t="shared" si="3"/>
        <v>1969.5</v>
      </c>
      <c r="F48" s="182">
        <f t="shared" si="4"/>
        <v>0.42083333333333334</v>
      </c>
      <c r="G48" s="196">
        <f t="shared" si="0"/>
        <v>4775.4763888888892</v>
      </c>
      <c r="H48" s="196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46204</v>
      </c>
      <c r="D49" s="19">
        <f t="shared" si="2"/>
        <v>2805.5555555555557</v>
      </c>
      <c r="E49" s="20">
        <f t="shared" si="3"/>
        <v>1969.5</v>
      </c>
      <c r="F49" s="182">
        <f t="shared" si="4"/>
        <v>0.42083333333333334</v>
      </c>
      <c r="G49" s="196">
        <f t="shared" si="0"/>
        <v>4775.4763888888892</v>
      </c>
      <c r="H49" s="196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46235</v>
      </c>
      <c r="D50" s="19">
        <f t="shared" si="2"/>
        <v>2805.5555555555557</v>
      </c>
      <c r="E50" s="20">
        <f t="shared" si="3"/>
        <v>1969.5</v>
      </c>
      <c r="F50" s="182">
        <f t="shared" si="4"/>
        <v>0.42083333333333334</v>
      </c>
      <c r="G50" s="196">
        <f t="shared" si="0"/>
        <v>4775.4763888888892</v>
      </c>
      <c r="H50" s="196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46266</v>
      </c>
      <c r="D51" s="19">
        <f t="shared" si="2"/>
        <v>2805.5555555555557</v>
      </c>
      <c r="E51" s="20">
        <f t="shared" si="3"/>
        <v>1969.5</v>
      </c>
      <c r="F51" s="182">
        <f t="shared" si="4"/>
        <v>0.42083333333333334</v>
      </c>
      <c r="G51" s="196">
        <f t="shared" si="0"/>
        <v>4775.4763888888892</v>
      </c>
      <c r="H51" s="196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46296</v>
      </c>
      <c r="D52" s="19">
        <f t="shared" si="2"/>
        <v>2805.5555555555557</v>
      </c>
      <c r="E52" s="20">
        <f t="shared" si="3"/>
        <v>1969.5</v>
      </c>
      <c r="F52" s="182">
        <f t="shared" si="4"/>
        <v>0.42083333333333334</v>
      </c>
      <c r="G52" s="196">
        <f t="shared" si="0"/>
        <v>4775.4763888888892</v>
      </c>
      <c r="H52" s="196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46327</v>
      </c>
      <c r="D53" s="19">
        <f t="shared" si="2"/>
        <v>2805.5555555555557</v>
      </c>
      <c r="E53" s="20">
        <f t="shared" si="3"/>
        <v>1969.5</v>
      </c>
      <c r="F53" s="182">
        <f t="shared" si="4"/>
        <v>0.42083333333333334</v>
      </c>
      <c r="G53" s="196">
        <f t="shared" si="0"/>
        <v>4775.4763888888892</v>
      </c>
      <c r="H53" s="196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46357</v>
      </c>
      <c r="D54" s="19">
        <f t="shared" si="2"/>
        <v>2805.5555555555557</v>
      </c>
      <c r="E54" s="20">
        <f t="shared" si="3"/>
        <v>1969.5</v>
      </c>
      <c r="F54" s="182">
        <f t="shared" si="4"/>
        <v>0.42083333333333334</v>
      </c>
      <c r="G54" s="196">
        <f t="shared" si="0"/>
        <v>4775.4763888888892</v>
      </c>
      <c r="H54" s="196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46388</v>
      </c>
      <c r="D55" s="19">
        <f t="shared" si="2"/>
        <v>2805.5555555555557</v>
      </c>
      <c r="E55" s="20">
        <f t="shared" si="3"/>
        <v>1969.5</v>
      </c>
      <c r="F55" s="182">
        <f t="shared" si="4"/>
        <v>0.42083333333333334</v>
      </c>
      <c r="G55" s="196">
        <f t="shared" si="0"/>
        <v>4775.4763888888892</v>
      </c>
      <c r="H55" s="196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46419</v>
      </c>
      <c r="D56" s="19">
        <f t="shared" si="2"/>
        <v>2805.5555555555557</v>
      </c>
      <c r="E56" s="20">
        <f t="shared" si="3"/>
        <v>1969.5</v>
      </c>
      <c r="F56" s="182">
        <f t="shared" si="4"/>
        <v>0.42083333333333334</v>
      </c>
      <c r="G56" s="196">
        <f t="shared" si="0"/>
        <v>4775.4763888888892</v>
      </c>
      <c r="H56" s="196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46447</v>
      </c>
      <c r="D57" s="19">
        <f t="shared" si="2"/>
        <v>2805.5555555555557</v>
      </c>
      <c r="E57" s="20">
        <f t="shared" si="3"/>
        <v>1969.5</v>
      </c>
      <c r="F57" s="182">
        <f t="shared" si="4"/>
        <v>0.42083333333333334</v>
      </c>
      <c r="G57" s="196">
        <f t="shared" si="0"/>
        <v>4775.4763888888892</v>
      </c>
      <c r="H57" s="196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46478</v>
      </c>
      <c r="D58" s="19">
        <f t="shared" si="2"/>
        <v>0</v>
      </c>
      <c r="E58" s="20">
        <f t="shared" si="3"/>
        <v>0</v>
      </c>
      <c r="F58" s="182">
        <f t="shared" si="4"/>
        <v>0</v>
      </c>
      <c r="G58" s="196">
        <f t="shared" si="0"/>
        <v>0</v>
      </c>
      <c r="H58" s="196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46508</v>
      </c>
      <c r="D59" s="19">
        <f t="shared" si="2"/>
        <v>0</v>
      </c>
      <c r="E59" s="20">
        <f t="shared" si="3"/>
        <v>0</v>
      </c>
      <c r="F59" s="182">
        <f t="shared" si="4"/>
        <v>0</v>
      </c>
      <c r="G59" s="196">
        <f t="shared" si="0"/>
        <v>0</v>
      </c>
      <c r="H59" s="196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46539</v>
      </c>
      <c r="D60" s="19">
        <f t="shared" si="2"/>
        <v>0</v>
      </c>
      <c r="E60" s="20">
        <f t="shared" si="3"/>
        <v>0</v>
      </c>
      <c r="F60" s="182">
        <f t="shared" si="4"/>
        <v>0</v>
      </c>
      <c r="G60" s="196">
        <f t="shared" si="0"/>
        <v>0</v>
      </c>
      <c r="H60" s="196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46569</v>
      </c>
      <c r="D61" s="19">
        <f t="shared" si="2"/>
        <v>0</v>
      </c>
      <c r="E61" s="20">
        <f t="shared" si="3"/>
        <v>0</v>
      </c>
      <c r="F61" s="182">
        <f t="shared" si="4"/>
        <v>0</v>
      </c>
      <c r="G61" s="196">
        <f t="shared" si="0"/>
        <v>0</v>
      </c>
      <c r="H61" s="196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46600</v>
      </c>
      <c r="D62" s="19">
        <f t="shared" si="2"/>
        <v>0</v>
      </c>
      <c r="E62" s="20">
        <f t="shared" si="3"/>
        <v>0</v>
      </c>
      <c r="F62" s="182">
        <f t="shared" si="4"/>
        <v>0</v>
      </c>
      <c r="G62" s="196">
        <f t="shared" si="0"/>
        <v>0</v>
      </c>
      <c r="H62" s="196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46631</v>
      </c>
      <c r="D63" s="19">
        <f t="shared" si="2"/>
        <v>0</v>
      </c>
      <c r="E63" s="20">
        <f t="shared" si="3"/>
        <v>0</v>
      </c>
      <c r="F63" s="182">
        <f t="shared" si="4"/>
        <v>0</v>
      </c>
      <c r="G63" s="196">
        <f t="shared" si="0"/>
        <v>0</v>
      </c>
      <c r="H63" s="196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46661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196">
        <f t="shared" si="0"/>
        <v>0</v>
      </c>
      <c r="H64" s="196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46692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196">
        <f t="shared" si="0"/>
        <v>0</v>
      </c>
      <c r="H65" s="196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46722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196">
        <f t="shared" si="0"/>
        <v>0</v>
      </c>
      <c r="H66" s="196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46753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196">
        <f t="shared" si="0"/>
        <v>0</v>
      </c>
      <c r="H67" s="196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46784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196">
        <f t="shared" si="0"/>
        <v>0</v>
      </c>
      <c r="H68" s="196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46813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196">
        <f t="shared" si="0"/>
        <v>0</v>
      </c>
      <c r="H69" s="196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46844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196">
        <f t="shared" si="0"/>
        <v>0</v>
      </c>
      <c r="H70" s="196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46874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196">
        <f t="shared" si="0"/>
        <v>0</v>
      </c>
      <c r="H71" s="196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46905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196">
        <f t="shared" ref="G72:G99" si="5">IF(B$40&lt;=F$21,D72+E72+F72,0)</f>
        <v>0</v>
      </c>
      <c r="H72" s="196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46935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196">
        <f t="shared" si="5"/>
        <v>0</v>
      </c>
      <c r="H73" s="196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46966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196">
        <f t="shared" si="5"/>
        <v>0</v>
      </c>
      <c r="H74" s="196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46997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196">
        <f t="shared" si="5"/>
        <v>0</v>
      </c>
      <c r="H75" s="196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47027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6">
        <f t="shared" si="5"/>
        <v>0</v>
      </c>
      <c r="H76" s="196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47058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6">
        <f t="shared" si="5"/>
        <v>0</v>
      </c>
      <c r="H77" s="196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47088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6">
        <f t="shared" si="5"/>
        <v>0</v>
      </c>
      <c r="H78" s="196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47119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6">
        <f t="shared" si="5"/>
        <v>0</v>
      </c>
      <c r="H79" s="196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47150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6">
        <f t="shared" si="5"/>
        <v>0</v>
      </c>
      <c r="H80" s="196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47178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6">
        <f t="shared" si="5"/>
        <v>0</v>
      </c>
      <c r="H81" s="196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47209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6">
        <f t="shared" si="5"/>
        <v>0</v>
      </c>
      <c r="H82" s="196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47239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6">
        <f t="shared" si="5"/>
        <v>0</v>
      </c>
      <c r="H83" s="196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47270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6">
        <f t="shared" si="5"/>
        <v>0</v>
      </c>
      <c r="H84" s="196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47300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6">
        <f t="shared" si="5"/>
        <v>0</v>
      </c>
      <c r="H85" s="196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47331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6">
        <f t="shared" si="5"/>
        <v>0</v>
      </c>
      <c r="H86" s="196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47362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6">
        <f t="shared" si="5"/>
        <v>0</v>
      </c>
      <c r="H87" s="196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47392</v>
      </c>
      <c r="D88" s="19">
        <f t="shared" si="2"/>
        <v>0</v>
      </c>
      <c r="E88" s="178">
        <f t="shared" si="3"/>
        <v>0</v>
      </c>
      <c r="F88" s="182">
        <f t="shared" si="4"/>
        <v>0</v>
      </c>
      <c r="G88" s="204">
        <f t="shared" si="5"/>
        <v>0</v>
      </c>
      <c r="H88" s="205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47423</v>
      </c>
      <c r="D89" s="19">
        <f t="shared" si="2"/>
        <v>0</v>
      </c>
      <c r="E89" s="107">
        <f t="shared" si="3"/>
        <v>0</v>
      </c>
      <c r="F89" s="182">
        <f t="shared" si="4"/>
        <v>0</v>
      </c>
      <c r="G89" s="206">
        <f t="shared" si="5"/>
        <v>0</v>
      </c>
      <c r="H89" s="207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47453</v>
      </c>
      <c r="D90" s="19">
        <f t="shared" si="2"/>
        <v>0</v>
      </c>
      <c r="E90" s="107">
        <f t="shared" si="3"/>
        <v>0</v>
      </c>
      <c r="F90" s="182">
        <f t="shared" si="4"/>
        <v>0</v>
      </c>
      <c r="G90" s="206">
        <f t="shared" si="5"/>
        <v>0</v>
      </c>
      <c r="H90" s="207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47484</v>
      </c>
      <c r="D91" s="19">
        <f t="shared" si="2"/>
        <v>0</v>
      </c>
      <c r="E91" s="107">
        <f t="shared" si="3"/>
        <v>0</v>
      </c>
      <c r="F91" s="182">
        <f t="shared" si="4"/>
        <v>0</v>
      </c>
      <c r="G91" s="206">
        <f t="shared" si="5"/>
        <v>0</v>
      </c>
      <c r="H91" s="207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47515</v>
      </c>
      <c r="D92" s="19">
        <f t="shared" si="2"/>
        <v>0</v>
      </c>
      <c r="E92" s="107">
        <f t="shared" si="3"/>
        <v>0</v>
      </c>
      <c r="F92" s="182">
        <f t="shared" si="4"/>
        <v>0</v>
      </c>
      <c r="G92" s="206">
        <f t="shared" si="5"/>
        <v>0</v>
      </c>
      <c r="H92" s="207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47543</v>
      </c>
      <c r="D93" s="19">
        <f t="shared" si="2"/>
        <v>0</v>
      </c>
      <c r="E93" s="107">
        <f t="shared" si="3"/>
        <v>0</v>
      </c>
      <c r="F93" s="182">
        <f t="shared" si="4"/>
        <v>0</v>
      </c>
      <c r="G93" s="206">
        <f t="shared" si="5"/>
        <v>0</v>
      </c>
      <c r="H93" s="207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47574</v>
      </c>
      <c r="D94" s="19">
        <f t="shared" si="2"/>
        <v>0</v>
      </c>
      <c r="E94" s="107">
        <f t="shared" si="3"/>
        <v>0</v>
      </c>
      <c r="F94" s="182">
        <f t="shared" si="4"/>
        <v>0</v>
      </c>
      <c r="G94" s="206">
        <f t="shared" si="5"/>
        <v>0</v>
      </c>
      <c r="H94" s="207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47604</v>
      </c>
      <c r="D95" s="19">
        <f t="shared" si="2"/>
        <v>0</v>
      </c>
      <c r="E95" s="107">
        <f t="shared" si="3"/>
        <v>0</v>
      </c>
      <c r="F95" s="182">
        <f t="shared" si="4"/>
        <v>0</v>
      </c>
      <c r="G95" s="206">
        <f t="shared" si="5"/>
        <v>0</v>
      </c>
      <c r="H95" s="207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47635</v>
      </c>
      <c r="D96" s="19">
        <f t="shared" si="2"/>
        <v>0</v>
      </c>
      <c r="E96" s="107">
        <f t="shared" si="3"/>
        <v>0</v>
      </c>
      <c r="F96" s="182">
        <f t="shared" si="4"/>
        <v>0</v>
      </c>
      <c r="G96" s="206">
        <f t="shared" si="5"/>
        <v>0</v>
      </c>
      <c r="H96" s="207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47665</v>
      </c>
      <c r="D97" s="19">
        <f t="shared" si="2"/>
        <v>0</v>
      </c>
      <c r="E97" s="107">
        <f t="shared" si="3"/>
        <v>0</v>
      </c>
      <c r="F97" s="182">
        <f t="shared" si="4"/>
        <v>0</v>
      </c>
      <c r="G97" s="206">
        <f t="shared" si="5"/>
        <v>0</v>
      </c>
      <c r="H97" s="207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47696</v>
      </c>
      <c r="D98" s="19">
        <f t="shared" si="2"/>
        <v>0</v>
      </c>
      <c r="E98" s="107">
        <f t="shared" si="3"/>
        <v>0</v>
      </c>
      <c r="F98" s="182">
        <f t="shared" si="4"/>
        <v>0</v>
      </c>
      <c r="G98" s="206">
        <f t="shared" si="5"/>
        <v>0</v>
      </c>
      <c r="H98" s="207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47727</v>
      </c>
      <c r="D99" s="19">
        <f t="shared" si="2"/>
        <v>0</v>
      </c>
      <c r="E99" s="107">
        <f t="shared" si="3"/>
        <v>0</v>
      </c>
      <c r="F99" s="182">
        <f t="shared" si="4"/>
        <v>0</v>
      </c>
      <c r="G99" s="206">
        <f t="shared" si="5"/>
        <v>0</v>
      </c>
      <c r="H99" s="207"/>
      <c r="I99" s="104"/>
      <c r="J99" s="104"/>
    </row>
    <row r="100" spans="1:19" s="4" customFormat="1" ht="16.5" thickBot="1" x14ac:dyDescent="0.25">
      <c r="A100" s="43"/>
      <c r="B100" s="202" t="s">
        <v>1</v>
      </c>
      <c r="C100" s="203"/>
      <c r="D100" s="93">
        <f>SUM(D40:D99)</f>
        <v>50499.999999999993</v>
      </c>
      <c r="E100" s="93">
        <f>SUM(E40:E99)</f>
        <v>23634</v>
      </c>
      <c r="F100" s="99">
        <f>SUM(F40:F99)</f>
        <v>7.5750000000000002</v>
      </c>
      <c r="G100" s="209">
        <f>SUM(G40:H99)</f>
        <v>74141.575000000012</v>
      </c>
      <c r="H100" s="210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8" t="s">
        <v>6</v>
      </c>
      <c r="F102" s="208"/>
      <c r="G102" s="208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NLuSP8Hr69AtJg9zF3MXjpndcwKGoTOM/hbUJSDuN618lgX6u1JiGN6F1d8dpsIP+oF7hpfCTajUGMFcTGcA6Q==" saltValue="rrpU+58CLEDpYhu1Eov37g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$L$7:$L$8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topLeftCell="A22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38" t="s">
        <v>60</v>
      </c>
      <c r="E2" s="238"/>
      <c r="F2" s="238"/>
      <c r="G2" s="238"/>
      <c r="H2" s="238"/>
      <c r="I2" s="238"/>
      <c r="J2" s="238"/>
      <c r="K2" s="238"/>
    </row>
    <row r="5" spans="2:11" ht="13.15" customHeight="1" x14ac:dyDescent="0.2">
      <c r="B5" s="228" t="s">
        <v>151</v>
      </c>
      <c r="C5" s="228"/>
      <c r="D5" s="177" t="s">
        <v>154</v>
      </c>
      <c r="E5" s="177" t="s">
        <v>49</v>
      </c>
    </row>
    <row r="6" spans="2:11" ht="13.15" customHeight="1" x14ac:dyDescent="0.2">
      <c r="B6" s="229" t="s">
        <v>155</v>
      </c>
      <c r="C6" s="230"/>
      <c r="D6" s="176" t="s">
        <v>61</v>
      </c>
      <c r="E6" s="176" t="s">
        <v>62</v>
      </c>
    </row>
    <row r="7" spans="2:11" x14ac:dyDescent="0.2">
      <c r="B7" s="231"/>
      <c r="C7" s="232"/>
      <c r="D7" s="176" t="s">
        <v>63</v>
      </c>
      <c r="E7" s="176" t="s">
        <v>64</v>
      </c>
    </row>
    <row r="8" spans="2:11" x14ac:dyDescent="0.2">
      <c r="B8" s="231"/>
      <c r="C8" s="232"/>
      <c r="D8" s="176" t="s">
        <v>65</v>
      </c>
      <c r="E8" s="176" t="s">
        <v>66</v>
      </c>
    </row>
    <row r="9" spans="2:11" x14ac:dyDescent="0.2">
      <c r="B9" s="231"/>
      <c r="C9" s="232"/>
      <c r="D9" s="176" t="s">
        <v>67</v>
      </c>
      <c r="E9" s="176" t="s">
        <v>68</v>
      </c>
    </row>
    <row r="10" spans="2:11" x14ac:dyDescent="0.2">
      <c r="B10" s="231"/>
      <c r="C10" s="232"/>
      <c r="D10" s="176" t="s">
        <v>69</v>
      </c>
      <c r="E10" s="176" t="s">
        <v>57</v>
      </c>
    </row>
    <row r="11" spans="2:11" x14ac:dyDescent="0.2">
      <c r="B11" s="231"/>
      <c r="C11" s="232"/>
      <c r="D11" s="176" t="s">
        <v>70</v>
      </c>
      <c r="E11" s="176" t="s">
        <v>71</v>
      </c>
    </row>
    <row r="12" spans="2:11" x14ac:dyDescent="0.2">
      <c r="B12" s="231"/>
      <c r="C12" s="232"/>
      <c r="D12" s="176" t="s">
        <v>72</v>
      </c>
      <c r="E12" s="176" t="s">
        <v>73</v>
      </c>
    </row>
    <row r="13" spans="2:11" x14ac:dyDescent="0.2">
      <c r="B13" s="231"/>
      <c r="C13" s="232"/>
      <c r="D13" s="176" t="s">
        <v>74</v>
      </c>
      <c r="E13" s="176" t="s">
        <v>75</v>
      </c>
    </row>
    <row r="14" spans="2:11" x14ac:dyDescent="0.2">
      <c r="B14" s="231"/>
      <c r="C14" s="232"/>
      <c r="D14" s="176" t="s">
        <v>76</v>
      </c>
      <c r="E14" s="176" t="s">
        <v>77</v>
      </c>
    </row>
    <row r="15" spans="2:11" x14ac:dyDescent="0.2">
      <c r="B15" s="231"/>
      <c r="C15" s="232"/>
      <c r="D15" s="176" t="s">
        <v>78</v>
      </c>
      <c r="E15" s="176" t="s">
        <v>79</v>
      </c>
    </row>
    <row r="16" spans="2:11" x14ac:dyDescent="0.2">
      <c r="B16" s="231"/>
      <c r="C16" s="232"/>
      <c r="D16" s="176" t="s">
        <v>80</v>
      </c>
      <c r="E16" s="176" t="s">
        <v>81</v>
      </c>
    </row>
    <row r="17" spans="2:5" x14ac:dyDescent="0.2">
      <c r="B17" s="231"/>
      <c r="C17" s="232"/>
      <c r="D17" s="176" t="s">
        <v>82</v>
      </c>
      <c r="E17" s="176" t="s">
        <v>83</v>
      </c>
    </row>
    <row r="18" spans="2:5" x14ac:dyDescent="0.2">
      <c r="B18" s="231"/>
      <c r="C18" s="232"/>
      <c r="D18" s="176" t="s">
        <v>84</v>
      </c>
      <c r="E18" s="176" t="s">
        <v>85</v>
      </c>
    </row>
    <row r="19" spans="2:5" x14ac:dyDescent="0.2">
      <c r="B19" s="231"/>
      <c r="C19" s="232"/>
      <c r="D19" s="176" t="s">
        <v>86</v>
      </c>
      <c r="E19" s="176" t="s">
        <v>87</v>
      </c>
    </row>
    <row r="20" spans="2:5" x14ac:dyDescent="0.2">
      <c r="B20" s="231"/>
      <c r="C20" s="232"/>
      <c r="D20" s="176" t="s">
        <v>88</v>
      </c>
      <c r="E20" s="176" t="s">
        <v>89</v>
      </c>
    </row>
    <row r="21" spans="2:5" x14ac:dyDescent="0.2">
      <c r="B21" s="231"/>
      <c r="C21" s="232"/>
      <c r="D21" s="176" t="s">
        <v>90</v>
      </c>
      <c r="E21" s="176" t="s">
        <v>91</v>
      </c>
    </row>
    <row r="22" spans="2:5" x14ac:dyDescent="0.2">
      <c r="B22" s="231"/>
      <c r="C22" s="232"/>
      <c r="D22" s="176" t="s">
        <v>92</v>
      </c>
      <c r="E22" s="176" t="s">
        <v>93</v>
      </c>
    </row>
    <row r="23" spans="2:5" x14ac:dyDescent="0.2">
      <c r="B23" s="231"/>
      <c r="C23" s="232"/>
      <c r="D23" s="176" t="s">
        <v>94</v>
      </c>
      <c r="E23" s="176" t="s">
        <v>95</v>
      </c>
    </row>
    <row r="24" spans="2:5" x14ac:dyDescent="0.2">
      <c r="B24" s="231"/>
      <c r="C24" s="232"/>
      <c r="D24" s="176" t="s">
        <v>96</v>
      </c>
      <c r="E24" s="176" t="s">
        <v>97</v>
      </c>
    </row>
    <row r="25" spans="2:5" x14ac:dyDescent="0.2">
      <c r="B25" s="231"/>
      <c r="C25" s="232"/>
      <c r="D25" s="176" t="s">
        <v>98</v>
      </c>
      <c r="E25" s="176" t="s">
        <v>99</v>
      </c>
    </row>
    <row r="26" spans="2:5" x14ac:dyDescent="0.2">
      <c r="B26" s="231"/>
      <c r="C26" s="232"/>
      <c r="D26" s="176" t="s">
        <v>100</v>
      </c>
      <c r="E26" s="176" t="s">
        <v>101</v>
      </c>
    </row>
    <row r="27" spans="2:5" x14ac:dyDescent="0.2">
      <c r="B27" s="231"/>
      <c r="C27" s="232"/>
      <c r="D27" s="176" t="s">
        <v>102</v>
      </c>
      <c r="E27" s="176" t="s">
        <v>103</v>
      </c>
    </row>
    <row r="28" spans="2:5" x14ac:dyDescent="0.2">
      <c r="B28" s="231"/>
      <c r="C28" s="232"/>
      <c r="D28" s="176" t="s">
        <v>104</v>
      </c>
      <c r="E28" s="176" t="s">
        <v>105</v>
      </c>
    </row>
    <row r="29" spans="2:5" x14ac:dyDescent="0.2">
      <c r="B29" s="231"/>
      <c r="C29" s="232"/>
      <c r="D29" s="176" t="s">
        <v>50</v>
      </c>
      <c r="E29" s="176" t="s">
        <v>51</v>
      </c>
    </row>
    <row r="30" spans="2:5" x14ac:dyDescent="0.2">
      <c r="B30" s="231"/>
      <c r="C30" s="232"/>
      <c r="D30" s="176" t="s">
        <v>106</v>
      </c>
      <c r="E30" s="176" t="s">
        <v>107</v>
      </c>
    </row>
    <row r="31" spans="2:5" x14ac:dyDescent="0.2">
      <c r="B31" s="231"/>
      <c r="C31" s="232"/>
      <c r="D31" s="176" t="s">
        <v>108</v>
      </c>
      <c r="E31" s="176" t="s">
        <v>109</v>
      </c>
    </row>
    <row r="32" spans="2:5" x14ac:dyDescent="0.2">
      <c r="B32" s="231"/>
      <c r="C32" s="232"/>
      <c r="D32" s="176" t="s">
        <v>110</v>
      </c>
      <c r="E32" s="176" t="s">
        <v>52</v>
      </c>
    </row>
    <row r="33" spans="2:5" x14ac:dyDescent="0.2">
      <c r="B33" s="231"/>
      <c r="C33" s="232"/>
      <c r="D33" s="176" t="s">
        <v>111</v>
      </c>
      <c r="E33" s="176" t="s">
        <v>112</v>
      </c>
    </row>
    <row r="34" spans="2:5" x14ac:dyDescent="0.2">
      <c r="B34" s="231"/>
      <c r="C34" s="232"/>
      <c r="D34" s="176" t="s">
        <v>113</v>
      </c>
      <c r="E34" s="176" t="s">
        <v>114</v>
      </c>
    </row>
    <row r="35" spans="2:5" x14ac:dyDescent="0.2">
      <c r="B35" s="231"/>
      <c r="C35" s="232"/>
      <c r="D35" s="176" t="s">
        <v>117</v>
      </c>
      <c r="E35" s="176" t="s">
        <v>118</v>
      </c>
    </row>
    <row r="36" spans="2:5" x14ac:dyDescent="0.2">
      <c r="B36" s="231"/>
      <c r="C36" s="232"/>
      <c r="D36" s="176" t="s">
        <v>119</v>
      </c>
      <c r="E36" s="176" t="s">
        <v>120</v>
      </c>
    </row>
    <row r="37" spans="2:5" x14ac:dyDescent="0.2">
      <c r="B37" s="231"/>
      <c r="C37" s="232"/>
      <c r="D37" s="176" t="s">
        <v>121</v>
      </c>
      <c r="E37" s="176" t="s">
        <v>122</v>
      </c>
    </row>
    <row r="38" spans="2:5" x14ac:dyDescent="0.2">
      <c r="B38" s="231"/>
      <c r="C38" s="232"/>
      <c r="D38" s="176" t="s">
        <v>123</v>
      </c>
      <c r="E38" s="176" t="s">
        <v>124</v>
      </c>
    </row>
    <row r="39" spans="2:5" x14ac:dyDescent="0.2">
      <c r="B39" s="231"/>
      <c r="C39" s="232"/>
      <c r="D39" s="176" t="s">
        <v>125</v>
      </c>
      <c r="E39" s="176" t="s">
        <v>126</v>
      </c>
    </row>
    <row r="40" spans="2:5" x14ac:dyDescent="0.2">
      <c r="B40" s="231"/>
      <c r="C40" s="232"/>
      <c r="D40" s="176" t="s">
        <v>53</v>
      </c>
      <c r="E40" s="176" t="s">
        <v>127</v>
      </c>
    </row>
    <row r="41" spans="2:5" x14ac:dyDescent="0.2">
      <c r="B41" s="231"/>
      <c r="C41" s="232"/>
      <c r="D41" s="176" t="s">
        <v>128</v>
      </c>
      <c r="E41" s="176" t="s">
        <v>129</v>
      </c>
    </row>
    <row r="42" spans="2:5" x14ac:dyDescent="0.2">
      <c r="B42" s="231"/>
      <c r="C42" s="232"/>
      <c r="D42" s="176" t="s">
        <v>130</v>
      </c>
      <c r="E42" s="176" t="s">
        <v>131</v>
      </c>
    </row>
    <row r="43" spans="2:5" x14ac:dyDescent="0.2">
      <c r="B43" s="231"/>
      <c r="C43" s="232"/>
      <c r="D43" s="176" t="s">
        <v>132</v>
      </c>
      <c r="E43" s="176" t="s">
        <v>133</v>
      </c>
    </row>
    <row r="44" spans="2:5" x14ac:dyDescent="0.2">
      <c r="B44" s="231"/>
      <c r="C44" s="232"/>
      <c r="D44" s="176" t="s">
        <v>134</v>
      </c>
      <c r="E44" s="176" t="s">
        <v>135</v>
      </c>
    </row>
    <row r="45" spans="2:5" x14ac:dyDescent="0.2">
      <c r="B45" s="231"/>
      <c r="C45" s="232"/>
      <c r="D45" s="176" t="s">
        <v>54</v>
      </c>
      <c r="E45" s="176" t="s">
        <v>55</v>
      </c>
    </row>
    <row r="46" spans="2:5" x14ac:dyDescent="0.2">
      <c r="B46" s="231"/>
      <c r="C46" s="232"/>
      <c r="D46" s="176" t="s">
        <v>136</v>
      </c>
      <c r="E46" s="176" t="s">
        <v>137</v>
      </c>
    </row>
    <row r="47" spans="2:5" x14ac:dyDescent="0.2">
      <c r="B47" s="231"/>
      <c r="C47" s="232"/>
      <c r="D47" s="176" t="s">
        <v>138</v>
      </c>
      <c r="E47" s="176" t="s">
        <v>56</v>
      </c>
    </row>
    <row r="48" spans="2:5" x14ac:dyDescent="0.2">
      <c r="B48" s="231"/>
      <c r="C48" s="232"/>
      <c r="D48" s="176" t="s">
        <v>139</v>
      </c>
      <c r="E48" s="176" t="s">
        <v>140</v>
      </c>
    </row>
    <row r="49" spans="2:5" x14ac:dyDescent="0.2">
      <c r="B49" s="231"/>
      <c r="C49" s="232"/>
      <c r="D49" s="176" t="s">
        <v>141</v>
      </c>
      <c r="E49" s="176" t="s">
        <v>142</v>
      </c>
    </row>
    <row r="50" spans="2:5" x14ac:dyDescent="0.2">
      <c r="B50" s="231"/>
      <c r="C50" s="232"/>
      <c r="D50" s="176" t="s">
        <v>145</v>
      </c>
      <c r="E50" s="176" t="s">
        <v>146</v>
      </c>
    </row>
    <row r="51" spans="2:5" x14ac:dyDescent="0.2">
      <c r="B51" s="231"/>
      <c r="C51" s="232"/>
      <c r="D51" s="176" t="s">
        <v>147</v>
      </c>
      <c r="E51" s="176" t="s">
        <v>148</v>
      </c>
    </row>
    <row r="52" spans="2:5" x14ac:dyDescent="0.2">
      <c r="B52" s="231"/>
      <c r="C52" s="232"/>
      <c r="D52" s="176" t="s">
        <v>149</v>
      </c>
      <c r="E52" s="176" t="s">
        <v>150</v>
      </c>
    </row>
    <row r="53" spans="2:5" ht="13.15" customHeight="1" x14ac:dyDescent="0.2">
      <c r="B53" s="233"/>
      <c r="C53" s="234"/>
      <c r="D53" s="176" t="s">
        <v>58</v>
      </c>
      <c r="E53" s="176" t="s">
        <v>59</v>
      </c>
    </row>
    <row r="54" spans="2:5" x14ac:dyDescent="0.2">
      <c r="B54" s="235" t="s">
        <v>152</v>
      </c>
      <c r="C54" s="236"/>
      <c r="D54" s="179" t="s">
        <v>115</v>
      </c>
      <c r="E54" s="179" t="s">
        <v>116</v>
      </c>
    </row>
    <row r="55" spans="2:5" x14ac:dyDescent="0.2">
      <c r="B55" s="237" t="s">
        <v>153</v>
      </c>
      <c r="C55" s="237"/>
      <c r="D55" s="176" t="s">
        <v>143</v>
      </c>
      <c r="E55" s="176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topLeftCell="A2" zoomScale="115" zoomScaleNormal="115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4" t="s">
        <v>16</v>
      </c>
      <c r="B1" s="245"/>
      <c r="C1" s="245"/>
      <c r="D1" s="246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39" t="s">
        <v>44</v>
      </c>
      <c r="B3" s="240">
        <v>0</v>
      </c>
      <c r="C3" s="240">
        <v>0</v>
      </c>
      <c r="D3" s="241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39" t="s">
        <v>45</v>
      </c>
      <c r="B5" s="240">
        <v>0</v>
      </c>
      <c r="C5" s="240">
        <v>0</v>
      </c>
      <c r="D5" s="241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39" t="s">
        <v>46</v>
      </c>
      <c r="B7" s="240">
        <v>0</v>
      </c>
      <c r="C7" s="240">
        <v>0</v>
      </c>
      <c r="D7" s="241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39" t="s">
        <v>158</v>
      </c>
      <c r="B9" s="240"/>
      <c r="C9" s="240"/>
      <c r="D9" s="241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39" t="s">
        <v>157</v>
      </c>
      <c r="B12" s="240">
        <v>0</v>
      </c>
      <c r="C12" s="240">
        <v>0</v>
      </c>
      <c r="D12" s="241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39" t="s">
        <v>47</v>
      </c>
      <c r="B14" s="240">
        <v>0</v>
      </c>
      <c r="C14" s="240">
        <v>0</v>
      </c>
      <c r="D14" s="241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39" t="s">
        <v>156</v>
      </c>
      <c r="B16" s="240">
        <v>0</v>
      </c>
      <c r="C16" s="240">
        <v>0</v>
      </c>
      <c r="D16" s="241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2" t="s">
        <v>8</v>
      </c>
      <c r="B19" s="243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7" t="s">
        <v>20</v>
      </c>
      <c r="B20" s="248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7" t="s">
        <v>9</v>
      </c>
      <c r="B21" s="248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7" t="s">
        <v>18</v>
      </c>
      <c r="B22" s="248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7" t="s">
        <v>19</v>
      </c>
      <c r="B23" s="248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0" t="s">
        <v>30</v>
      </c>
      <c r="B26" s="251"/>
      <c r="C26" s="251"/>
      <c r="D26" s="251"/>
      <c r="E26" s="251"/>
      <c r="F26" s="251"/>
      <c r="G26" s="252"/>
    </row>
    <row r="27" spans="1:8" ht="45.75" thickBot="1" x14ac:dyDescent="0.25">
      <c r="A27" s="253" t="s">
        <v>2</v>
      </c>
      <c r="B27" s="254"/>
      <c r="C27" s="83" t="s">
        <v>4</v>
      </c>
      <c r="D27" s="83" t="s">
        <v>17</v>
      </c>
      <c r="E27" s="83" t="s">
        <v>5</v>
      </c>
      <c r="F27" s="255" t="s">
        <v>3</v>
      </c>
      <c r="G27" s="256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9"/>
      <c r="E29" s="249"/>
      <c r="F29" s="249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zoomScaleNormal="100" workbookViewId="0">
      <selection activeCell="G13" sqref="G13"/>
    </sheetView>
  </sheetViews>
  <sheetFormatPr defaultColWidth="9.140625" defaultRowHeight="12.75" x14ac:dyDescent="0.2"/>
  <cols>
    <col min="1" max="1" width="31" style="115" customWidth="1"/>
    <col min="2" max="2" width="11.42578125" style="115" customWidth="1"/>
    <col min="3" max="4" width="9.140625" style="115"/>
    <col min="5" max="5" width="17.28515625" style="115" hidden="1" customWidth="1"/>
    <col min="6" max="6" width="16.85546875" style="115" customWidth="1"/>
    <col min="7" max="7" width="22.28515625" style="115" customWidth="1"/>
    <col min="8" max="8" width="17.5703125" style="115" customWidth="1"/>
    <col min="9" max="9" width="9.140625" style="115" customWidth="1"/>
    <col min="10" max="10" width="15.5703125" style="115" customWidth="1"/>
    <col min="11" max="11" width="9.140625" style="115" customWidth="1"/>
    <col min="12" max="15" width="17.5703125" style="115" customWidth="1"/>
    <col min="16" max="16384" width="9.140625" style="115"/>
  </cols>
  <sheetData>
    <row r="1" spans="1:16" x14ac:dyDescent="0.2">
      <c r="B1" s="115" t="s">
        <v>21</v>
      </c>
      <c r="C1" s="115" t="s">
        <v>22</v>
      </c>
      <c r="D1" s="115" t="s">
        <v>23</v>
      </c>
      <c r="E1" s="115" t="s">
        <v>24</v>
      </c>
      <c r="F1" s="115" t="s">
        <v>25</v>
      </c>
      <c r="I1" s="115" t="s">
        <v>36</v>
      </c>
      <c r="J1" s="115" t="s">
        <v>37</v>
      </c>
      <c r="K1" s="115" t="s">
        <v>37</v>
      </c>
      <c r="L1" s="115" t="s">
        <v>0</v>
      </c>
      <c r="N1" s="115" t="s">
        <v>34</v>
      </c>
      <c r="O1" s="115" t="s">
        <v>35</v>
      </c>
    </row>
    <row r="2" spans="1:16" x14ac:dyDescent="0.2">
      <c r="D2" s="116"/>
      <c r="E2" s="116"/>
      <c r="F2" s="116"/>
      <c r="H2" s="115" t="s">
        <v>27</v>
      </c>
      <c r="I2" s="115" t="s">
        <v>26</v>
      </c>
      <c r="J2" s="115" t="s">
        <v>38</v>
      </c>
      <c r="K2" s="115" t="s">
        <v>10</v>
      </c>
      <c r="L2" s="117"/>
      <c r="M2" s="117"/>
      <c r="N2" s="117"/>
      <c r="O2" s="117"/>
    </row>
    <row r="3" spans="1:16" x14ac:dyDescent="0.2">
      <c r="A3" s="115">
        <v>1</v>
      </c>
      <c r="B3" s="115">
        <v>2</v>
      </c>
      <c r="C3" s="115">
        <v>3</v>
      </c>
      <c r="D3" s="115">
        <v>4</v>
      </c>
      <c r="E3" s="115">
        <v>5</v>
      </c>
      <c r="F3" s="115">
        <v>6</v>
      </c>
      <c r="G3" s="115">
        <v>7</v>
      </c>
      <c r="H3" s="115">
        <v>8</v>
      </c>
      <c r="I3" s="115">
        <v>9</v>
      </c>
      <c r="J3" s="115">
        <v>10</v>
      </c>
      <c r="L3" s="115">
        <v>11</v>
      </c>
      <c r="N3" s="115">
        <v>12</v>
      </c>
      <c r="O3" s="115">
        <v>13</v>
      </c>
      <c r="P3" s="115">
        <v>14</v>
      </c>
    </row>
    <row r="4" spans="1:16" s="149" customFormat="1" x14ac:dyDescent="0.2">
      <c r="A4" s="149" t="s">
        <v>160</v>
      </c>
      <c r="B4" s="183">
        <v>99500</v>
      </c>
      <c r="C4" s="149">
        <v>18</v>
      </c>
      <c r="D4" s="150">
        <v>1E-4</v>
      </c>
      <c r="E4" s="150">
        <v>0</v>
      </c>
      <c r="F4" s="150">
        <v>3.9E-2</v>
      </c>
      <c r="G4" s="149" t="str">
        <f>I$2&amp;" "&amp;B4&amp;" "&amp;H$2</f>
        <v>max. 99500 грн.</v>
      </c>
      <c r="H4" s="181">
        <f>B4+J4</f>
        <v>100000</v>
      </c>
      <c r="I4" s="149">
        <v>6</v>
      </c>
      <c r="J4" s="149">
        <v>500</v>
      </c>
      <c r="K4" s="180">
        <v>0</v>
      </c>
      <c r="L4" s="151">
        <f t="shared" ref="L4" si="0">D4/12/(1-1/POWER(1+D4/12,C4))*H4+H4*F4</f>
        <v>9455.9953807260063</v>
      </c>
      <c r="M4" s="152">
        <f>F4</f>
        <v>3.9E-2</v>
      </c>
      <c r="N4" s="152"/>
      <c r="O4" s="153">
        <v>0</v>
      </c>
      <c r="P4" s="149">
        <v>1000</v>
      </c>
    </row>
    <row r="5" spans="1:16" s="149" customFormat="1" x14ac:dyDescent="0.2">
      <c r="A5" s="149" t="s">
        <v>161</v>
      </c>
      <c r="B5" s="183">
        <v>99500</v>
      </c>
      <c r="C5" s="149">
        <v>18</v>
      </c>
      <c r="D5" s="150">
        <v>1E-4</v>
      </c>
      <c r="E5" s="150">
        <v>0</v>
      </c>
      <c r="F5" s="150">
        <v>3.9E-2</v>
      </c>
      <c r="G5" s="149" t="str">
        <f t="shared" ref="G5" si="1">I$2&amp;" "&amp;B5&amp;" "&amp;H$2</f>
        <v>max. 99500 грн.</v>
      </c>
      <c r="H5" s="181">
        <f>B5+J5</f>
        <v>100000</v>
      </c>
      <c r="I5" s="149">
        <v>3</v>
      </c>
      <c r="J5" s="149">
        <v>500</v>
      </c>
      <c r="K5" s="180">
        <v>0</v>
      </c>
      <c r="L5" s="151">
        <f t="shared" ref="L5" si="2">D5/12/(1-1/POWER(1+D5/12,C5))*H5+H5*F5</f>
        <v>9455.9953807260063</v>
      </c>
      <c r="M5" s="152">
        <f>F5</f>
        <v>3.9E-2</v>
      </c>
      <c r="N5" s="152"/>
      <c r="O5" s="153">
        <v>0</v>
      </c>
      <c r="P5" s="149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Satellite_Жжук</vt:lpstr>
      <vt:lpstr>Перелік партнерів</vt:lpstr>
      <vt:lpstr>Назви</vt:lpstr>
      <vt:lpstr>Лист2</vt:lpstr>
      <vt:lpstr>Satellite_Жжук!Область_друку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2025-09-01T07:55:12Z</dcterms:modified>
</cp:coreProperties>
</file>