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8D876B26-C5CA-4D2A-9BCC-14AEB6F09475}" xr6:coauthVersionLast="47" xr6:coauthVersionMax="47" xr10:uidLastSave="{00000000-0000-0000-0000-000000000000}"/>
  <workbookProtection workbookAlgorithmName="SHA-512" workbookHashValue="HN6aAm8VLf3K5oXtoF+YDsJXs2dTqhNA6BHm5j4/yVghOGA+0/+8vLevINw7HTzvHPZeHDaTX3PMAJdyiO0TCQ==" workbookSaltValue="BGII7pesjKryEIcSI+gbow==" workbookSpinCount="100000" lockStructure="1"/>
  <bookViews>
    <workbookView xWindow="-120" yWindow="-120" windowWidth="29040" windowHeight="15990" tabRatio="863" xr2:uid="{00000000-000D-0000-FFFF-FFFF00000000}"/>
  </bookViews>
  <sheets>
    <sheet name="NST Ідея_ТзОВ КОННЕКТЕЛЕКТРОНІК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Ідея_ТзОВ КОННЕКТЕЛЕКТРОНІК'!$A$1:$I$103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/>
  <c r="L11" i="164"/>
  <c r="M8" i="165"/>
  <c r="H8" i="165"/>
  <c r="L8" i="165" s="1"/>
  <c r="G8" i="165"/>
  <c r="M7" i="165"/>
  <c r="H7" i="165"/>
  <c r="L7" i="165" s="1"/>
  <c r="G7" i="165"/>
  <c r="H5" i="165" l="1"/>
  <c r="H6" i="165"/>
  <c r="H4" i="165"/>
  <c r="E2" i="164"/>
  <c r="G2" i="164"/>
  <c r="G3" i="164"/>
  <c r="F2" i="164" l="1"/>
  <c r="G39" i="164"/>
  <c r="L8" i="164" l="1"/>
  <c r="L9" i="164"/>
  <c r="M6" i="165"/>
  <c r="L6" i="165"/>
  <c r="G6" i="165"/>
  <c r="H3" i="164" s="1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66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<sst xmlns="http://schemas.openxmlformats.org/spreadsheetml/2006/main" count="173" uniqueCount="165">
  <si>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</si>
  <si>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</si>
  <si>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</si>
  <si>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</si>
  <si>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</si>
  <si>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</si>
  <si>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</si>
  <si>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</si>
  <si>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</si>
  <si>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</si>
  <si>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</si>
  <si>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</si>
  <si>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</si>
  <si>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</si>
  <si>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</si>
  <si>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</si>
  <si>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</si>
  <si>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</si>
  <si>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</si>
  <si>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</si>
  <si>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</si>
  <si>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</si>
  <si>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</si>
  <si>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</si>
  <si>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</si>
  <si>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</si>
  <si>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</si>
  <si>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</si>
  <si>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</si>
  <si>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</si>
  <si>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</si>
  <si>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</si>
  <si>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</si>
  <si>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</si>
  <si>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</si>
  <si>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</si>
  <si>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</si>
  <si>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</si>
  <si>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</si>
  <si>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</si>
  <si>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</si>
  <si>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</si>
  <si>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</si>
  <si>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</si>
  <si>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</si>
  <si>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</si>
  <si>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</si>
  <si>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</si>
  <si>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</si>
  <si>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</si>
  <si>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</si>
  <si>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</si>
  <si>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</si>
  <si>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</si>
  <si>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</si>
  <si>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</si>
  <si>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</si>
  <si>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</si>
  <si>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</si>
  <si>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</si>
  <si>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</si>
  <si>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</si>
  <si>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</si>
  <si>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</si>
  <si>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</si>
  <si>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</si>
  <si>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</si>
  <si>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</si>
  <si>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</si>
  <si>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</si>
  <si>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</si>
  <si>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</si>
  <si>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</si>
  <si>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</si>
  <si>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</si>
  <si>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</si>
  <si>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</si>
  <si>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</si>
  <si>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</si>
  <si>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</si>
  <si>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</si>
  <si>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</si>
  <si>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</si>
  <si>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</si>
  <si>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</si>
  <si>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</si>
  <si>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</si>
  <si>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</si>
  <si>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</si>
  <si>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</si>
  <si>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</si>
  <si>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</si>
  <si>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</si>
  <si>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</si>
  <si>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</si>
  <si>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</si>
  <si>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</si>
  <si>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</si>
  <si>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</si>
  <si>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</si>
  <si>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</si>
  <si>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</si>
  <si>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</si>
  <si>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</si>
  <si>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</si>
  <si>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</si>
  <si>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</si>
  <si>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</si>
  <si>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</si>
  <si>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</si>
  <si>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</si>
  <si>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</si>
  <si>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</si>
  <si>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</si>
  <si>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</si>
  <si>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</si>
  <si>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</si>
  <si>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</si>
  <si>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</si>
  <si>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</si>
  <si>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</si>
  <si>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</si>
  <si>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</si>
  <si>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</si>
  <si>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</si>
  <si>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</si>
  <si>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</si>
  <si>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</si>
  <si>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</si>
  <si>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</si>
  <si>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</si>
  <si>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</si>
  <si>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</si>
  <si>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</si>
  <si>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</si>
  <si>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</si>
  <si>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</si>
  <si>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</si>
  <si>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</si>
  <si>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</si>
  <si>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</si>
  <si>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</si>
  <si>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</si>
  <si>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</si>
  <si>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</si>
  <si>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</si>
  <si>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</si>
  <si>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</si>
  <si>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</si>
  <si>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</si>
  <si>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</si>
  <si>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</si>
  <si>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</si>
  <si>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</si>
  <si>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</si>
  <si>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</si>
  <si>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</si>
  <si>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</si>
  <si>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</si>
  <si>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</si>
  <si>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Смарт Шоп_0-0-12</t>
  </si>
  <si>
    <t>NST Ідея Смарт Шоп_0-0-24</t>
  </si>
  <si>
    <t>NST Ідея Смарт Шоп_0-0-36</t>
  </si>
  <si>
    <t>NST Ідея Смарт Шоп_0-6-12</t>
  </si>
  <si>
    <t>NST Ідея Смарт Шоп_0-9-24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</si>
</sst>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0</xdr:rowOff>
    </xdr:from>
    <xdr:to>
      <xdr:col>3</xdr:col>
      <xdr:colOff>615462</xdr:colOff>
      <xdr:row>3</xdr:row>
      <xdr:rowOff>109903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27" y="0"/>
          <a:ext cx="1919654" cy="608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="130" zoomScaleNormal="70" zoomScaleSheetLayoutView="13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Ідея_ТзОВ КОННЕКТЕЛЕКТРОНІК'!H2,Лист2!A:P,16,FALSE)</f>
        <v>1000</v>
      </c>
      <c r="F2" s="132">
        <f>VLOOKUP(H$2,Лист2!$A:$H,8,0)</f>
        <v>75000.002000000008</v>
      </c>
      <c r="G2" s="177">
        <f ca="1">TODAY()</f>
        <v>45855</v>
      </c>
      <c r="H2" s="193" t="s">
        <v>163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55000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 t="str">
        <f>VLOOKUP(H$2,Лист2!$A:$G,7,0)</f>
        <v>max. 68181,82 грн.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55000</v>
      </c>
      <c r="G7" s="164"/>
      <c r="H7" s="165"/>
      <c r="I7" s="42"/>
      <c r="J7" s="4"/>
      <c r="K7" s="37"/>
      <c r="L7" s="51" t="str">
        <f>Лист2!A4</f>
        <v>NST Ідея Смарт Шоп_0-0-12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str">
        <f>Лист2!A5</f>
        <v>NST Ідея Смарт Шоп_0-0-24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Смарт Шоп_0-0-36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Смарт Шоп_0-6-12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Смарт Шоп_0-9-24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6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0.1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3.9899999999999998E-2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55000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18172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68172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0.72308923006057735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4583.333333333333</v>
      </c>
      <c r="E40" s="20">
        <f>IF(AND(B40&gt;F$13,B40&lt;=$F$21),F$7*F$19,0)</f>
        <v>0</v>
      </c>
      <c r="F40" s="182">
        <f>IF(B40&lt;=$F$21,F$5*F$9/12,0)</f>
        <v>0.41666666666666669</v>
      </c>
      <c r="G40" s="208">
        <f t="shared" ref="G40:G71" si="0">IF(B$40&lt;=F$21,D40+E40+F40,0)</f>
        <v>4583.75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4583.333333333333</v>
      </c>
      <c r="E41" s="20">
        <f t="shared" ref="E41:E99" si="3">IF(AND(B41&gt;F$13,B41&lt;=$F$21),F$7*F$19,0)</f>
        <v>0</v>
      </c>
      <c r="F41" s="20">
        <f t="shared" ref="F41:F99" si="4">IF(B41&lt;=$F$21,F$5*F$9/12,0)</f>
        <v>0.41666666666666669</v>
      </c>
      <c r="G41" s="208">
        <f t="shared" si="0"/>
        <v>4583.75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4583.333333333333</v>
      </c>
      <c r="E42" s="20">
        <f t="shared" si="3"/>
        <v>0</v>
      </c>
      <c r="F42" s="20">
        <f t="shared" si="4"/>
        <v>0.41666666666666669</v>
      </c>
      <c r="G42" s="208">
        <f t="shared" si="0"/>
        <v>4583.75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4583.333333333333</v>
      </c>
      <c r="E43" s="20">
        <f t="shared" si="3"/>
        <v>0</v>
      </c>
      <c r="F43" s="20">
        <f t="shared" si="4"/>
        <v>0.41666666666666669</v>
      </c>
      <c r="G43" s="208">
        <f t="shared" si="0"/>
        <v>4583.75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4583.333333333333</v>
      </c>
      <c r="E44" s="20">
        <f t="shared" si="3"/>
        <v>0</v>
      </c>
      <c r="F44" s="20">
        <f t="shared" si="4"/>
        <v>0.41666666666666669</v>
      </c>
      <c r="G44" s="208">
        <f t="shared" si="0"/>
        <v>4583.75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4583.333333333333</v>
      </c>
      <c r="E45" s="20">
        <f t="shared" si="3"/>
        <v>0</v>
      </c>
      <c r="F45" s="20">
        <f t="shared" si="4"/>
        <v>0.41666666666666669</v>
      </c>
      <c r="G45" s="208">
        <f t="shared" si="0"/>
        <v>4583.75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4583.333333333333</v>
      </c>
      <c r="E46" s="20">
        <f t="shared" si="3"/>
        <v>2194.5</v>
      </c>
      <c r="F46" s="20">
        <f t="shared" si="4"/>
        <v>0.41666666666666669</v>
      </c>
      <c r="G46" s="208">
        <f t="shared" si="0"/>
        <v>6778.25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4583.333333333333</v>
      </c>
      <c r="E47" s="20">
        <f t="shared" si="3"/>
        <v>2194.5</v>
      </c>
      <c r="F47" s="20">
        <f t="shared" si="4"/>
        <v>0.41666666666666669</v>
      </c>
      <c r="G47" s="208">
        <f t="shared" si="0"/>
        <v>6778.25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4583.333333333333</v>
      </c>
      <c r="E48" s="20">
        <f t="shared" si="3"/>
        <v>2194.5</v>
      </c>
      <c r="F48" s="20">
        <f t="shared" si="4"/>
        <v>0.41666666666666669</v>
      </c>
      <c r="G48" s="208">
        <f t="shared" si="0"/>
        <v>6778.25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4583.333333333333</v>
      </c>
      <c r="E49" s="20">
        <f t="shared" si="3"/>
        <v>2194.5</v>
      </c>
      <c r="F49" s="20">
        <f t="shared" si="4"/>
        <v>0.41666666666666669</v>
      </c>
      <c r="G49" s="208">
        <f t="shared" si="0"/>
        <v>6778.25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4583.333333333333</v>
      </c>
      <c r="E50" s="20">
        <f t="shared" si="3"/>
        <v>2194.5</v>
      </c>
      <c r="F50" s="20">
        <f t="shared" si="4"/>
        <v>0.41666666666666669</v>
      </c>
      <c r="G50" s="208">
        <f t="shared" si="0"/>
        <v>6778.25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4583.333333333333</v>
      </c>
      <c r="E51" s="20">
        <f t="shared" si="3"/>
        <v>2194.5</v>
      </c>
      <c r="F51" s="20">
        <f t="shared" si="4"/>
        <v>0.41666666666666669</v>
      </c>
      <c r="G51" s="208">
        <f t="shared" si="0"/>
        <v>6778.25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0</v>
      </c>
      <c r="E52" s="20">
        <f t="shared" si="3"/>
        <v>0</v>
      </c>
      <c r="F52" s="20">
        <f t="shared" si="4"/>
        <v>0</v>
      </c>
      <c r="G52" s="208">
        <f t="shared" si="0"/>
        <v>0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0</v>
      </c>
      <c r="E53" s="20">
        <f t="shared" si="3"/>
        <v>0</v>
      </c>
      <c r="F53" s="20">
        <f t="shared" si="4"/>
        <v>0</v>
      </c>
      <c r="G53" s="208">
        <f t="shared" si="0"/>
        <v>0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0</v>
      </c>
      <c r="E54" s="20">
        <f t="shared" si="3"/>
        <v>0</v>
      </c>
      <c r="F54" s="20">
        <f t="shared" si="4"/>
        <v>0</v>
      </c>
      <c r="G54" s="208">
        <f t="shared" si="0"/>
        <v>0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0</v>
      </c>
      <c r="E55" s="20">
        <f t="shared" si="3"/>
        <v>0</v>
      </c>
      <c r="F55" s="20">
        <f t="shared" si="4"/>
        <v>0</v>
      </c>
      <c r="G55" s="208">
        <f t="shared" si="0"/>
        <v>0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0</v>
      </c>
      <c r="E56" s="20">
        <f t="shared" si="3"/>
        <v>0</v>
      </c>
      <c r="F56" s="20">
        <f t="shared" si="4"/>
        <v>0</v>
      </c>
      <c r="G56" s="208">
        <f t="shared" si="0"/>
        <v>0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0</v>
      </c>
      <c r="E57" s="20">
        <f t="shared" si="3"/>
        <v>0</v>
      </c>
      <c r="F57" s="20">
        <f t="shared" si="4"/>
        <v>0</v>
      </c>
      <c r="G57" s="208">
        <f t="shared" si="0"/>
        <v>0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20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20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20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20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20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20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55000.000000000007</v>
      </c>
      <c r="E100" s="93">
        <f>SUM(E40:E99)</f>
        <v>13167</v>
      </c>
      <c r="F100" s="99">
        <f>SUM(F40:F99)</f>
        <v>5</v>
      </c>
      <c r="G100" s="211">
        <f>SUM(G40:H99)</f>
        <v>68172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wv/sydhu9TjJ0YZhRtkmIE+gGgRdmtB8vLO/WGilHGo8S9X4Ada1u7SIxeG7Z0309k8mYo7NX6pXVUASLqzhHw==" saltValue="l061BHB1OdW05/2hHpFd8A==" spinCount="100000" sheet="1" objects="1" scenarios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A10" sqref="A10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192307.69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192307,69 грн.</v>
      </c>
      <c r="H4" s="184">
        <f>B4+B4*K4</f>
        <v>199999.9976</v>
      </c>
      <c r="I4" s="151">
        <v>0</v>
      </c>
      <c r="K4" s="185">
        <v>0.04</v>
      </c>
      <c r="L4" s="153">
        <f t="shared" ref="L4" si="0">D4/12/(1-1/POWER(1+D4/12,C4))*H4+H4*F4</f>
        <v>21667.569198141362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192307.69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192307,69 грн.</v>
      </c>
      <c r="H5" s="184">
        <f t="shared" ref="H5:H6" si="1">B5+B5*K5</f>
        <v>199999.9976</v>
      </c>
      <c r="I5" s="151">
        <v>0</v>
      </c>
      <c r="K5" s="185">
        <v>0.04</v>
      </c>
      <c r="L5" s="153">
        <f t="shared" ref="L5:L6" si="2">D5/12/(1-1/POWER(1+D5/12,C5))*H5+H5*F5</f>
        <v>13334.201256563774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192307.69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192307,69 грн.</v>
      </c>
      <c r="H6" s="184">
        <f t="shared" si="1"/>
        <v>199999.9976</v>
      </c>
      <c r="I6" s="151">
        <v>0</v>
      </c>
      <c r="J6" s="151"/>
      <c r="K6" s="185">
        <v>0.04</v>
      </c>
      <c r="L6" s="153">
        <f t="shared" si="2"/>
        <v>10556.411951965314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163</v>
      </c>
      <c r="B7" s="121">
        <v>68181.820000000007</v>
      </c>
      <c r="C7" s="151">
        <v>12</v>
      </c>
      <c r="D7" s="152">
        <v>1E-4</v>
      </c>
      <c r="E7" s="152">
        <v>0</v>
      </c>
      <c r="F7" s="152">
        <v>3.9899999999999998E-2</v>
      </c>
      <c r="G7" s="151" t="str">
        <f>I$2&amp;" "&amp;B7&amp;" "&amp;H$2</f>
        <v>max. 68181,82 грн.</v>
      </c>
      <c r="H7" s="184">
        <f t="shared" ref="H7:H8" si="3">B7+B7*K7</f>
        <v>75000.002000000008</v>
      </c>
      <c r="I7" s="151">
        <v>6</v>
      </c>
      <c r="K7" s="185">
        <v>0.1</v>
      </c>
      <c r="L7" s="153">
        <f t="shared" ref="L7:L8" si="4">D7/12/(1-1/POWER(1+D7/12,C7))*H7+H7*F7</f>
        <v>9242.8387932827682</v>
      </c>
      <c r="M7" s="154">
        <f>F7</f>
        <v>3.9899999999999998E-2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66371.679999999993</v>
      </c>
      <c r="C8" s="151">
        <v>24</v>
      </c>
      <c r="D8" s="152">
        <v>1E-4</v>
      </c>
      <c r="E8" s="152">
        <v>0</v>
      </c>
      <c r="F8" s="152">
        <v>3.9899999999999998E-2</v>
      </c>
      <c r="G8" s="151" t="str">
        <f>I$2&amp;" "&amp;B8&amp;" "&amp;H$2</f>
        <v>max. 66371,68 грн.</v>
      </c>
      <c r="H8" s="184">
        <f t="shared" si="3"/>
        <v>74999.998399999997</v>
      </c>
      <c r="I8" s="151">
        <v>9</v>
      </c>
      <c r="J8" s="151"/>
      <c r="K8" s="185">
        <v>0.13</v>
      </c>
      <c r="L8" s="153">
        <f t="shared" si="4"/>
        <v>6117.8254007017094</v>
      </c>
      <c r="M8" s="154">
        <f>F8</f>
        <v>3.9899999999999998E-2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Ідея_ТзОВ КОННЕКТЕЛЕКТРОНІК</vt:lpstr>
      <vt:lpstr>Перелік партнерів</vt:lpstr>
      <vt:lpstr>Назви</vt:lpstr>
      <vt:lpstr>Лист2</vt:lpstr>
      <vt:lpstr>'NST Ідея_ТзОВ КОННЕКТЕЛЕКТРОНІК'!Область_друку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2025-07-17T06:22:11Z</dcterms:modified>
</cp:coreProperties>
</file>