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Істотні+калькулятор\NST\"/>
    </mc:Choice>
  </mc:AlternateContent>
  <xr:revisionPtr revIDLastSave="0" documentId="13_ncr:1_{5C1B263B-8E17-482F-B0E5-CEC460E9E781}" xr6:coauthVersionLast="47" xr6:coauthVersionMax="47" xr10:uidLastSave="{00000000-0000-0000-0000-000000000000}"/>
  <workbookProtection workbookAlgorithmName="SHA-512" workbookHashValue="Pa/B/wlDMS7ExLcqIyCHVg/eYmr0WAFRmnDDz1Cn343Du59ozYY+bqsKjnBx4N5C09McYgwlT3tumf3XOjwPPA==" workbookSaltValue="LGVRGW/qN8pN7twkLmBpiA==" workbookSpinCount="100000" lockStructure="1"/>
  <bookViews>
    <workbookView xWindow="-120" yWindow="-120" windowWidth="29040" windowHeight="15990" tabRatio="863" xr2:uid="{00000000-000D-0000-FFFF-FFFF00000000}"/>
  </bookViews>
  <sheets>
    <sheet name="NST Ідея_ТзОВ Скайфол" sheetId="164" r:id="rId1"/>
    <sheet name="Перелік партнерів" sheetId="172" state="hidden" r:id="rId2"/>
    <sheet name="Назви" sheetId="161" state="hidden" r:id="rId3"/>
    <sheet name="Лист2" sheetId="165" state="hidden" r:id="rId4"/>
  </sheets>
  <definedNames>
    <definedName name="_xlnm.Print_Area" localSheetId="0">'NST Ідея_ТзОВ Скайфол'!$A$1:$I$103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64" l="1"/>
  <c r="L12" i="164"/>
  <c r="L11" i="164"/>
  <c r="M9" i="165"/>
  <c r="L9" i="165"/>
  <c r="H9" i="165"/>
  <c r="G9" i="165"/>
  <c r="M8" i="165"/>
  <c r="H8" i="165"/>
  <c r="L8" i="165" s="1"/>
  <c r="G8" i="165"/>
  <c r="L10" i="164" l="1"/>
  <c r="M7" i="165"/>
  <c r="H7" i="165"/>
  <c r="L7" i="165" s="1"/>
  <c r="G7" i="165"/>
  <c r="H5" i="165" l="1"/>
  <c r="F2" i="164" s="1"/>
  <c r="H6" i="165"/>
  <c r="H4" i="165"/>
  <c r="E2" i="164"/>
  <c r="G2" i="164"/>
  <c r="G3" i="164"/>
  <c r="H3" i="164" l="1"/>
  <c r="G39" i="164"/>
  <c r="L8" i="164" l="1"/>
  <c r="L9" i="164"/>
  <c r="M6" i="165"/>
  <c r="L6" i="165"/>
  <c r="G6" i="165"/>
  <c r="M5" i="165"/>
  <c r="L5" i="165"/>
  <c r="G5" i="165"/>
  <c r="G4" i="165" l="1"/>
  <c r="L17" i="164" l="1"/>
  <c r="L13" i="164" l="1"/>
  <c r="L14" i="164"/>
  <c r="L15" i="164"/>
  <c r="L16" i="164"/>
  <c r="B28" i="164" l="1"/>
  <c r="B26" i="164"/>
  <c r="B24" i="164"/>
  <c r="B11" i="164"/>
  <c r="F17" i="164" l="1"/>
  <c r="M4" i="165"/>
  <c r="L7" i="164"/>
  <c r="F21" i="164" l="1"/>
  <c r="F13" i="164"/>
  <c r="F15" i="164"/>
  <c r="L4" i="165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0" i="161"/>
  <c r="F77" i="164" l="1"/>
  <c r="F81" i="164"/>
  <c r="F85" i="164"/>
  <c r="F89" i="164"/>
  <c r="F93" i="164"/>
  <c r="F97" i="164"/>
  <c r="F78" i="164"/>
  <c r="F82" i="164"/>
  <c r="F86" i="164"/>
  <c r="F90" i="164"/>
  <c r="F94" i="164"/>
  <c r="F98" i="164"/>
  <c r="F76" i="164"/>
  <c r="F80" i="164"/>
  <c r="F84" i="164"/>
  <c r="F88" i="164"/>
  <c r="F92" i="164"/>
  <c r="F96" i="164"/>
  <c r="F79" i="164"/>
  <c r="F83" i="164"/>
  <c r="F87" i="164"/>
  <c r="F91" i="164"/>
  <c r="F95" i="164"/>
  <c r="F99" i="164"/>
  <c r="F22" i="161"/>
  <c r="C40" i="164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D88" i="164"/>
  <c r="D90" i="164"/>
  <c r="D92" i="164"/>
  <c r="D94" i="164"/>
  <c r="D96" i="164"/>
  <c r="D98" i="164"/>
  <c r="D89" i="164"/>
  <c r="D91" i="164"/>
  <c r="D93" i="164"/>
  <c r="D95" i="164"/>
  <c r="D97" i="164"/>
  <c r="D99" i="164"/>
  <c r="E22" i="164"/>
  <c r="F7" i="164"/>
  <c r="E71" i="164" s="1"/>
  <c r="E78" i="164"/>
  <c r="E97" i="164"/>
  <c r="E94" i="164"/>
  <c r="E80" i="164"/>
  <c r="E85" i="164"/>
  <c r="F23" i="161"/>
  <c r="G21" i="161"/>
  <c r="E90" i="164"/>
  <c r="E98" i="164"/>
  <c r="E91" i="164"/>
  <c r="E81" i="164"/>
  <c r="E99" i="164"/>
  <c r="E96" i="164"/>
  <c r="E79" i="164"/>
  <c r="E83" i="164"/>
  <c r="E88" i="164"/>
  <c r="E95" i="164"/>
  <c r="E76" i="164"/>
  <c r="E93" i="164"/>
  <c r="E89" i="164"/>
  <c r="E92" i="164"/>
  <c r="E84" i="164"/>
  <c r="E66" i="164" l="1"/>
  <c r="F67" i="164"/>
  <c r="F51" i="164"/>
  <c r="F64" i="164"/>
  <c r="F48" i="164"/>
  <c r="F74" i="164"/>
  <c r="F58" i="164"/>
  <c r="F42" i="164"/>
  <c r="F69" i="164"/>
  <c r="F53" i="164"/>
  <c r="F63" i="164"/>
  <c r="F47" i="164"/>
  <c r="F60" i="164"/>
  <c r="F44" i="164"/>
  <c r="F70" i="164"/>
  <c r="F54" i="164"/>
  <c r="F65" i="164"/>
  <c r="F49" i="164"/>
  <c r="F75" i="164"/>
  <c r="F59" i="164"/>
  <c r="F43" i="164"/>
  <c r="F72" i="164"/>
  <c r="F56" i="164"/>
  <c r="F66" i="164"/>
  <c r="F50" i="164"/>
  <c r="F61" i="164"/>
  <c r="F45" i="164"/>
  <c r="E64" i="164"/>
  <c r="E75" i="164"/>
  <c r="F71" i="164"/>
  <c r="F55" i="164"/>
  <c r="F40" i="164"/>
  <c r="F68" i="164"/>
  <c r="F52" i="164"/>
  <c r="F62" i="164"/>
  <c r="F46" i="164"/>
  <c r="F73" i="164"/>
  <c r="F57" i="164"/>
  <c r="F41" i="164"/>
  <c r="D59" i="164"/>
  <c r="E3" i="164"/>
  <c r="F3" i="164" s="1"/>
  <c r="E44" i="164"/>
  <c r="E82" i="164"/>
  <c r="E87" i="164"/>
  <c r="E86" i="164"/>
  <c r="E77" i="164"/>
  <c r="D87" i="164"/>
  <c r="D83" i="164"/>
  <c r="G83" i="164" s="1"/>
  <c r="D79" i="164"/>
  <c r="G79" i="164" s="1"/>
  <c r="D75" i="164"/>
  <c r="D71" i="164"/>
  <c r="D67" i="164"/>
  <c r="D84" i="164"/>
  <c r="G84" i="164" s="1"/>
  <c r="D80" i="164"/>
  <c r="G80" i="164" s="1"/>
  <c r="D76" i="164"/>
  <c r="G76" i="164" s="1"/>
  <c r="D72" i="164"/>
  <c r="D68" i="164"/>
  <c r="D64" i="164"/>
  <c r="D85" i="164"/>
  <c r="G85" i="164" s="1"/>
  <c r="D81" i="164"/>
  <c r="G81" i="164" s="1"/>
  <c r="D77" i="164"/>
  <c r="D73" i="164"/>
  <c r="D69" i="164"/>
  <c r="D86" i="164"/>
  <c r="D82" i="164"/>
  <c r="D78" i="164"/>
  <c r="G78" i="164" s="1"/>
  <c r="D74" i="164"/>
  <c r="D70" i="164"/>
  <c r="D66" i="164"/>
  <c r="D65" i="164"/>
  <c r="D40" i="164"/>
  <c r="D61" i="164"/>
  <c r="D60" i="164"/>
  <c r="D56" i="164"/>
  <c r="D57" i="164"/>
  <c r="D63" i="164"/>
  <c r="D62" i="164"/>
  <c r="D58" i="164"/>
  <c r="D42" i="164"/>
  <c r="D44" i="164"/>
  <c r="D46" i="164"/>
  <c r="D48" i="164"/>
  <c r="D50" i="164"/>
  <c r="D52" i="164"/>
  <c r="D54" i="164"/>
  <c r="D41" i="164"/>
  <c r="D43" i="164"/>
  <c r="D45" i="164"/>
  <c r="D47" i="164"/>
  <c r="D49" i="164"/>
  <c r="D51" i="164"/>
  <c r="D53" i="164"/>
  <c r="D55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G59" i="164" s="1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G66" i="164" l="1"/>
  <c r="G71" i="164"/>
  <c r="F100" i="164"/>
  <c r="G64" i="164"/>
  <c r="G75" i="164"/>
  <c r="G44" i="164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F24" i="164" s="1"/>
  <c r="F26" i="164" s="1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<sst xmlns="http://schemas.openxmlformats.org/spreadsheetml/2006/main" count="174" uniqueCount="166">
  <si>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</si>
  <si>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</si>
  <si>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</si>
  <si>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</si>
  <si>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</si>
  <si>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</si>
  <si>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</si>
  <si>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</si>
  <si>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</si>
  <si>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</si>
  <si>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</si>
  <si>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</si>
  <si>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</si>
  <si>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</si>
  <si>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</si>
  <si>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</si>
  <si>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</si>
  <si>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</si>
  <si>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</si>
  <si>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</si>
  <si>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</si>
  <si>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</si>
  <si>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</si>
  <si>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</si>
  <si>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</si>
  <si>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</si>
  <si>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</si>
  <si>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</si>
  <si>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</si>
  <si>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</si>
  <si>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</si>
  <si>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</si>
  <si>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</si>
  <si>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</si>
  <si>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</si>
  <si>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</si>
  <si>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</si>
  <si>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</si>
  <si>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</si>
  <si>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</si>
  <si>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</si>
  <si>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</si>
  <si>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</si>
  <si>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</si>
  <si>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</si>
  <si>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</si>
  <si>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</si>
  <si>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</si>
  <si>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</si>
  <si>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</si>
  <si>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</si>
  <si>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</si>
  <si>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</si>
  <si>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</si>
  <si>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</si>
  <si>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</si>
  <si>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</si>
  <si>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</si>
  <si>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</si>
  <si>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</si>
  <si>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</si>
  <si>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</si>
  <si>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</si>
  <si>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</si>
  <si>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</si>
  <si>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</si>
  <si>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</si>
  <si>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</si>
  <si>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</si>
  <si>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</si>
  <si>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</si>
  <si>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</si>
  <si>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</si>
  <si>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</si>
  <si>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</si>
  <si>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</si>
  <si>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</si>
  <si>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</si>
  <si>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</si>
  <si>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</si>
  <si>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</si>
  <si>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</si>
  <si>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</si>
  <si>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</si>
  <si>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</si>
  <si>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</si>
  <si>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</si>
  <si>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</si>
  <si>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</si>
  <si>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</si>
  <si>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</si>
  <si>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</si>
  <si>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</si>
  <si>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</si>
  <si>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</si>
  <si>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</si>
  <si>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</si>
  <si>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</si>
  <si>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</si>
  <si>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</si>
  <si>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</si>
  <si>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</si>
  <si>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</si>
  <si>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</si>
  <si>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</si>
  <si>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</si>
  <si>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</si>
  <si>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</si>
  <si>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</si>
  <si>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</si>
  <si>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</si>
  <si>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</si>
  <si>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</si>
  <si>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</si>
  <si>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</si>
  <si>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</si>
  <si>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</si>
  <si>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</si>
  <si>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</si>
  <si>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</si>
  <si>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</si>
  <si>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</si>
  <si>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</si>
  <si>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</si>
  <si>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</si>
  <si>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</si>
  <si>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</si>
  <si>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</si>
  <si>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</si>
  <si>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</si>
  <si>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</si>
  <si>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</si>
  <si>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</si>
  <si>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</si>
  <si>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</si>
  <si>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</si>
  <si>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</si>
  <si>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</si>
  <si>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</si>
  <si>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</si>
  <si>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</si>
  <si>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</si>
  <si>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</si>
  <si>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</si>
  <si>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</si>
  <si>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</si>
  <si>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</si>
  <si>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</si>
  <si>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</si>
  <si>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</si>
  <si>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</si>
  <si>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</si>
  <si>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</si>
  <si>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</si>
  <si>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</si>
  <si>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</si>
  <si>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</si>
  <si>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</si>
  <si>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</si>
  <si>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</si>
  <si>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>NST Ідея Кібернетики_0-6-18</t>
  </si>
  <si>
    <t>NST Ідея Кібернетики_0-9-24</t>
  </si>
  <si>
    <t>NST Ідея Кібернетики_0-3-12</t>
  </si>
  <si>
    <t>NST Ідея Кібернетики_0-0-12 Стандарт</t>
  </si>
  <si>
    <t>NST Ідея Кібернетики_0-0-24 Стандарт</t>
  </si>
  <si>
    <t>NST Ідея Кібернетики_0-0-36 Стандарт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</si>
</sst>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59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0" fontId="2" fillId="3" borderId="4" xfId="49" applyFont="1" applyFill="1" applyBorder="1"/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2" fontId="3" fillId="0" borderId="16" xfId="49" applyNumberFormat="1" applyBorder="1"/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1" fontId="0" fillId="10" borderId="0" xfId="0" applyNumberFormat="1" applyFill="1" applyProtection="1">
      <protection hidden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2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2" fillId="3" borderId="0" xfId="49" applyNumberFormat="1" applyFont="1" applyFill="1" applyAlignment="1">
      <alignment horizontal="center"/>
    </xf>
    <xf numFmtId="0" fontId="42" fillId="3" borderId="0" xfId="49" applyFont="1" applyFill="1"/>
    <xf numFmtId="0" fontId="43" fillId="3" borderId="0" xfId="49" applyFont="1" applyFill="1" applyAlignment="1">
      <alignment horizontal="center"/>
    </xf>
    <xf numFmtId="0" fontId="42" fillId="3" borderId="1" xfId="49" applyFont="1" applyFill="1" applyBorder="1" applyAlignment="1">
      <alignment horizontal="center"/>
    </xf>
    <xf numFmtId="175" fontId="42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2" fillId="3" borderId="0" xfId="49" applyNumberFormat="1" applyFont="1" applyFill="1" applyAlignment="1">
      <alignment horizontal="center"/>
    </xf>
    <xf numFmtId="2" fontId="42" fillId="0" borderId="1" xfId="49" applyNumberFormat="1" applyFont="1" applyBorder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2" fillId="3" borderId="6" xfId="49" applyNumberFormat="1" applyFont="1" applyFill="1" applyBorder="1"/>
    <xf numFmtId="167" fontId="42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2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2" fillId="3" borderId="1" xfId="49" applyNumberFormat="1" applyFont="1" applyFill="1" applyBorder="1" applyAlignment="1">
      <alignment horizontal="center"/>
    </xf>
    <xf numFmtId="179" fontId="41" fillId="12" borderId="9" xfId="75" applyNumberFormat="1" applyFont="1" applyFill="1" applyBorder="1" applyAlignment="1" applyProtection="1">
      <alignment vertical="top" wrapText="1"/>
      <protection locked="0"/>
    </xf>
    <xf numFmtId="1" fontId="32" fillId="3" borderId="0" xfId="49" applyNumberFormat="1" applyFont="1" applyFill="1" applyAlignment="1">
      <alignment horizontal="center" vertical="center"/>
    </xf>
    <xf numFmtId="2" fontId="42" fillId="13" borderId="14" xfId="49" applyNumberFormat="1" applyFont="1" applyFill="1" applyBorder="1" applyAlignment="1">
      <alignment horizontal="center"/>
    </xf>
    <xf numFmtId="0" fontId="42" fillId="0" borderId="36" xfId="49" applyFont="1" applyBorder="1"/>
    <xf numFmtId="0" fontId="43" fillId="0" borderId="38" xfId="49" applyFont="1" applyBorder="1" applyAlignment="1">
      <alignment horizontal="center"/>
    </xf>
    <xf numFmtId="10" fontId="42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2" fillId="0" borderId="40" xfId="49" applyNumberFormat="1" applyFont="1" applyBorder="1" applyAlignment="1">
      <alignment horizontal="left" vertical="center"/>
    </xf>
    <xf numFmtId="1" fontId="42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3" fillId="0" borderId="43" xfId="49" applyNumberFormat="1" applyFont="1" applyBorder="1" applyAlignment="1">
      <alignment horizontal="center"/>
    </xf>
    <xf numFmtId="0" fontId="42" fillId="3" borderId="37" xfId="49" applyFont="1" applyFill="1" applyBorder="1"/>
    <xf numFmtId="10" fontId="43" fillId="0" borderId="42" xfId="49" applyNumberFormat="1" applyFont="1" applyBorder="1" applyAlignment="1">
      <alignment horizontal="center"/>
    </xf>
    <xf numFmtId="170" fontId="43" fillId="0" borderId="42" xfId="49" applyNumberFormat="1" applyFont="1" applyBorder="1" applyAlignment="1">
      <alignment horizontal="center"/>
    </xf>
    <xf numFmtId="10" fontId="43" fillId="0" borderId="44" xfId="49" applyNumberFormat="1" applyFont="1" applyBorder="1" applyAlignment="1">
      <alignment horizontal="center"/>
    </xf>
    <xf numFmtId="172" fontId="43" fillId="0" borderId="44" xfId="49" applyNumberFormat="1" applyFont="1" applyBorder="1" applyAlignment="1">
      <alignment horizontal="center"/>
    </xf>
    <xf numFmtId="14" fontId="47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2" fontId="3" fillId="0" borderId="13" xfId="49" applyNumberFormat="1" applyBorder="1"/>
    <xf numFmtId="168" fontId="3" fillId="0" borderId="13" xfId="49" applyNumberFormat="1" applyBorder="1"/>
    <xf numFmtId="180" fontId="3" fillId="0" borderId="1" xfId="49" applyNumberFormat="1" applyBorder="1"/>
    <xf numFmtId="0" fontId="0" fillId="0" borderId="1" xfId="0" applyBorder="1" applyAlignment="1">
      <alignment vertical="center"/>
    </xf>
    <xf numFmtId="2" fontId="0" fillId="11" borderId="0" xfId="0" applyNumberFormat="1" applyFill="1" applyProtection="1">
      <protection hidden="1"/>
    </xf>
    <xf numFmtId="167" fontId="0" fillId="11" borderId="0" xfId="0" applyNumberFormat="1" applyFill="1" applyProtection="1">
      <protection hidden="1"/>
    </xf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0" borderId="0" xfId="49" applyFont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6" fillId="11" borderId="32" xfId="0" applyFont="1" applyFill="1" applyBorder="1" applyAlignment="1">
      <alignment horizontal="center" vertical="center"/>
    </xf>
    <xf numFmtId="0" fontId="44" fillId="11" borderId="33" xfId="0" applyFont="1" applyFill="1" applyBorder="1" applyAlignment="1">
      <alignment horizontal="center" vertical="center"/>
    </xf>
    <xf numFmtId="0" fontId="44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33" fillId="6" borderId="6" xfId="0" applyFont="1" applyFill="1" applyBorder="1" applyAlignment="1">
      <alignment horizontal="left"/>
    </xf>
    <xf numFmtId="0" fontId="33" fillId="6" borderId="1" xfId="0" applyFont="1" applyFill="1" applyBorder="1" applyAlignment="1">
      <alignment horizontal="left"/>
    </xf>
    <xf numFmtId="167" fontId="3" fillId="3" borderId="0" xfId="72" applyNumberFormat="1" applyFont="1" applyFill="1" applyAlignment="1" applyProtection="1">
      <alignment horizontal="left"/>
    </xf>
    <xf numFmtId="4" fontId="15" fillId="0" borderId="1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3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3549</xdr:rowOff>
    </xdr:from>
    <xdr:to>
      <xdr:col>3</xdr:col>
      <xdr:colOff>466725</xdr:colOff>
      <xdr:row>3</xdr:row>
      <xdr:rowOff>95250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" y="3549"/>
          <a:ext cx="1781174" cy="596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S107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40625" defaultRowHeight="12.75" outlineLevelRow="1" outlineLevelCol="1" x14ac:dyDescent="0.2"/>
  <cols>
    <col min="1" max="1" width="2.42578125" style="7" customWidth="1"/>
    <col min="2" max="2" width="7.140625" style="4" customWidth="1"/>
    <col min="3" max="3" width="10.140625" style="4" bestFit="1" customWidth="1"/>
    <col min="4" max="4" width="15" style="4" bestFit="1" customWidth="1"/>
    <col min="5" max="5" width="31" style="4" customWidth="1"/>
    <col min="6" max="6" width="15.7109375" style="4" customWidth="1"/>
    <col min="7" max="7" width="11.140625" style="34" customWidth="1"/>
    <col min="8" max="8" width="10.140625" style="28" customWidth="1"/>
    <col min="9" max="9" width="14.7109375" customWidth="1"/>
    <col min="10" max="10" width="17.28515625" style="3" customWidth="1"/>
    <col min="11" max="11" width="12.5703125" style="4" hidden="1" customWidth="1" outlineLevel="1"/>
    <col min="12" max="12" width="9.42578125" style="4" hidden="1" customWidth="1" outlineLevel="1"/>
    <col min="13" max="13" width="16.42578125" style="4" hidden="1" customWidth="1" outlineLevel="1"/>
    <col min="14" max="16" width="14.85546875" style="4" hidden="1" customWidth="1" outlineLevel="1"/>
    <col min="17" max="25" width="13.5703125" style="4" hidden="1" customWidth="1" outlineLevel="1"/>
    <col min="26" max="26" width="7.42578125" style="4" hidden="1" customWidth="1" outlineLevel="1"/>
    <col min="27" max="27" width="9.140625" style="4" hidden="1" customWidth="1" outlineLevel="1"/>
    <col min="28" max="28" width="5.7109375" style="4" hidden="1" customWidth="1" outlineLevel="1"/>
    <col min="29" max="29" width="9.140625" style="97" collapsed="1"/>
    <col min="30" max="45" width="9.140625" style="97"/>
    <col min="46" max="16384" width="9.140625" style="4"/>
  </cols>
  <sheetData>
    <row r="1" spans="1:45" ht="13.5" thickBot="1" x14ac:dyDescent="0.25">
      <c r="A1" s="43"/>
      <c r="B1" s="88"/>
      <c r="C1" s="88"/>
      <c r="D1" s="88"/>
      <c r="E1" s="88"/>
      <c r="F1" s="88"/>
      <c r="G1" s="89"/>
      <c r="H1" s="186" t="s">
        <v>48</v>
      </c>
      <c r="I1" s="186"/>
    </row>
    <row r="2" spans="1:45" ht="12.75" customHeight="1" x14ac:dyDescent="0.2">
      <c r="A2" s="2"/>
      <c r="B2" s="88"/>
      <c r="C2" s="88"/>
      <c r="D2" s="88"/>
      <c r="E2" s="109">
        <f>VLOOKUP('NST Ідея_ТзОВ Скайфол'!H2,Лист2!A:P,16,FALSE)</f>
        <v>1000</v>
      </c>
      <c r="F2" s="132">
        <f>VLOOKUP(H$2,Лист2!$A:$H,8,0)</f>
        <v>100000.00440000001</v>
      </c>
      <c r="G2" s="177">
        <f ca="1">TODAY()</f>
        <v>45856</v>
      </c>
      <c r="H2" s="193" t="s">
        <v>160</v>
      </c>
      <c r="I2" s="194"/>
      <c r="J2" s="35"/>
    </row>
    <row r="3" spans="1:45" ht="13.7" customHeight="1" thickBot="1" x14ac:dyDescent="0.25">
      <c r="A3" s="2"/>
      <c r="B3" s="88"/>
      <c r="C3" s="88"/>
      <c r="D3" s="88"/>
      <c r="E3" s="110">
        <f>IF(F7&lt;E2,"x",IF(F7&gt;F2,"y",F7))</f>
        <v>71400</v>
      </c>
      <c r="F3" s="195" t="str">
        <f>IF(E3="x","Збільшіть суму",IF(E3="y","Зменшіть суму",""))</f>
        <v/>
      </c>
      <c r="G3" s="133">
        <f>Назви!B32</f>
        <v>30.4</v>
      </c>
      <c r="H3" s="197">
        <f>VLOOKUP(H$2,Лист2!$A:$H,8,0)</f>
        <v>100000.00440000001</v>
      </c>
      <c r="I3" s="198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25">
      <c r="A4" s="2"/>
      <c r="B4" s="42"/>
      <c r="C4" s="42"/>
      <c r="D4" s="42"/>
      <c r="E4" s="119"/>
      <c r="F4" s="196"/>
      <c r="G4" s="112"/>
      <c r="H4" s="162"/>
      <c r="I4" s="120"/>
      <c r="J4" s="35"/>
      <c r="AA4" s="51"/>
    </row>
    <row r="5" spans="1:45" ht="21" thickBot="1" x14ac:dyDescent="0.25">
      <c r="A5" s="1"/>
      <c r="B5" s="199" t="s">
        <v>42</v>
      </c>
      <c r="C5" s="200"/>
      <c r="D5" s="200"/>
      <c r="E5" s="201"/>
      <c r="F5" s="161">
        <v>70000</v>
      </c>
      <c r="G5" s="168" t="s">
        <v>27</v>
      </c>
      <c r="H5" s="169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5" customHeight="1" x14ac:dyDescent="0.2">
      <c r="A6" s="188"/>
      <c r="B6" s="188"/>
      <c r="C6" s="188"/>
      <c r="D6" s="188"/>
      <c r="E6" s="188"/>
      <c r="F6" s="188"/>
      <c r="G6" s="188"/>
      <c r="H6" s="188"/>
      <c r="I6" s="170"/>
      <c r="J6" s="157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">
      <c r="A7" s="1"/>
      <c r="B7" s="190" t="s">
        <v>43</v>
      </c>
      <c r="C7" s="191"/>
      <c r="D7" s="191"/>
      <c r="E7" s="192"/>
      <c r="F7" s="163">
        <f>F5+F5*F11+F15+F5*F17</f>
        <v>71400</v>
      </c>
      <c r="G7" s="164"/>
      <c r="H7" s="165"/>
      <c r="I7" s="42"/>
      <c r="J7" s="4"/>
      <c r="K7" s="37"/>
      <c r="L7" s="51" t="str">
        <f>Лист2!A4</f>
        <v>NST Ідея Кібернетики_0-3-12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">
      <c r="A8" s="187"/>
      <c r="B8" s="187"/>
      <c r="C8" s="187"/>
      <c r="D8" s="187"/>
      <c r="E8" s="187"/>
      <c r="F8" s="188"/>
      <c r="G8" s="187"/>
      <c r="H8" s="187"/>
      <c r="I8" s="187"/>
      <c r="J8" s="4"/>
      <c r="K8" s="37"/>
      <c r="L8" s="51" t="str">
        <f>Лист2!A5</f>
        <v>NST Ідея Кібернетики_0-6-18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">
      <c r="A9" s="1"/>
      <c r="B9" s="202" t="str">
        <f>Назви!A3</f>
        <v>Процентна ставка, % річних</v>
      </c>
      <c r="C9" s="203">
        <f>Назви!B3</f>
        <v>0</v>
      </c>
      <c r="D9" s="203">
        <f>Назви!C3</f>
        <v>0</v>
      </c>
      <c r="E9" s="203">
        <f>Назви!D3</f>
        <v>0</v>
      </c>
      <c r="F9" s="134">
        <f>VLOOKUP(H$2,Лист2!$A:$G,4,0)</f>
        <v>1E-4</v>
      </c>
      <c r="G9" s="171"/>
      <c r="H9" s="166"/>
      <c r="I9" s="167"/>
      <c r="K9" s="37"/>
      <c r="L9" s="51" t="str">
        <f>Лист2!A6</f>
        <v>NST Ідея Кібернетики_0-9-24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">
      <c r="A10" s="1"/>
      <c r="B10" s="135"/>
      <c r="C10" s="136"/>
      <c r="D10" s="135"/>
      <c r="E10" s="136"/>
      <c r="F10" s="137"/>
      <c r="G10" s="172"/>
      <c r="H10" s="139"/>
      <c r="I10" s="150"/>
      <c r="J10" s="4"/>
      <c r="K10" s="37"/>
      <c r="L10" s="51" t="str">
        <f>Лист2!A7</f>
        <v>NST Ідея Кібернетики_0-0-12 Стандарт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7" customHeight="1" x14ac:dyDescent="0.2">
      <c r="A11" s="1"/>
      <c r="B11" s="204" t="str">
        <f>Назви!A5</f>
        <v>Разовий страховий тариф, %</v>
      </c>
      <c r="C11" s="205">
        <f>Назви!B5</f>
        <v>0</v>
      </c>
      <c r="D11" s="205">
        <f>Назви!C5</f>
        <v>0</v>
      </c>
      <c r="E11" s="205">
        <f>Назви!D5</f>
        <v>0</v>
      </c>
      <c r="F11" s="134">
        <f>VLOOKUP(H$2,Лист2!$A:$G,5,0)</f>
        <v>0</v>
      </c>
      <c r="G11" s="175"/>
      <c r="H11" s="173"/>
      <c r="I11" s="120"/>
      <c r="K11" s="37"/>
      <c r="L11" s="51" t="str">
        <f>Лист2!A8</f>
        <v>NST Ідея Кібернетики_0-0-24 Стандарт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15" customHeight="1" x14ac:dyDescent="0.2">
      <c r="A12" s="188"/>
      <c r="B12" s="188"/>
      <c r="C12" s="188"/>
      <c r="D12" s="188"/>
      <c r="E12" s="188"/>
      <c r="F12" s="188"/>
      <c r="G12" s="188"/>
      <c r="H12" s="188"/>
      <c r="I12" s="188"/>
      <c r="J12" s="51"/>
      <c r="K12" s="37"/>
      <c r="L12" s="51" t="str">
        <f>Лист2!A9</f>
        <v>NST Ідея Кібернетики_0-0-36 Стандарт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7" customHeight="1" x14ac:dyDescent="0.2">
      <c r="A13" s="1"/>
      <c r="B13" s="206" t="s">
        <v>41</v>
      </c>
      <c r="C13" s="206"/>
      <c r="D13" s="206"/>
      <c r="E13" s="204"/>
      <c r="F13" s="140">
        <f>VLOOKUP(H$2,Лист2!$A:$J,9,0)</f>
        <v>6</v>
      </c>
      <c r="G13" s="175"/>
      <c r="H13" s="173"/>
      <c r="I13" s="120"/>
      <c r="J13" s="4"/>
      <c r="K13" s="37"/>
      <c r="L13" s="51" t="e">
        <f>Лист2!#REF!</f>
        <v>#REF!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499999999999993" customHeight="1" x14ac:dyDescent="0.2">
      <c r="A14" s="189"/>
      <c r="B14" s="189"/>
      <c r="C14" s="189"/>
      <c r="D14" s="189"/>
      <c r="E14" s="189"/>
      <c r="F14" s="189"/>
      <c r="G14" s="189"/>
      <c r="H14" s="189"/>
      <c r="I14" s="189"/>
      <c r="J14" s="51"/>
      <c r="K14" s="37"/>
      <c r="L14" s="51" t="e">
        <f>Лист2!#REF!</f>
        <v>#REF!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7" customHeight="1" x14ac:dyDescent="0.2">
      <c r="A15" s="1"/>
      <c r="B15" s="206" t="s">
        <v>39</v>
      </c>
      <c r="C15" s="206"/>
      <c r="D15" s="206"/>
      <c r="E15" s="204"/>
      <c r="F15" s="156">
        <f>VLOOKUP(H$2,Лист2!$A:$J,10,0)</f>
        <v>0</v>
      </c>
      <c r="G15" s="175"/>
      <c r="H15" s="173"/>
      <c r="I15" s="120"/>
      <c r="J15" s="51"/>
      <c r="K15" s="37"/>
      <c r="L15" s="51" t="e">
        <f>Лист2!#REF!</f>
        <v>#REF!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">
      <c r="A16" s="188"/>
      <c r="B16" s="188"/>
      <c r="C16" s="188"/>
      <c r="D16" s="188"/>
      <c r="E16" s="188"/>
      <c r="F16" s="188"/>
      <c r="G16" s="188"/>
      <c r="H16" s="188"/>
      <c r="I16" s="120"/>
      <c r="J16" s="51"/>
      <c r="K16" s="37"/>
      <c r="L16" s="51" t="e">
        <f>Лист2!#REF!</f>
        <v>#REF!</v>
      </c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">
      <c r="A17" s="1"/>
      <c r="B17" s="206" t="s">
        <v>40</v>
      </c>
      <c r="C17" s="206"/>
      <c r="D17" s="206"/>
      <c r="E17" s="206"/>
      <c r="F17" s="134">
        <f>VLOOKUP(H$2,Лист2!$A:$K,11,0)</f>
        <v>0.02</v>
      </c>
      <c r="G17" s="138"/>
      <c r="H17" s="139"/>
      <c r="I17" s="42"/>
      <c r="J17" s="51"/>
      <c r="K17" s="37"/>
      <c r="L17" s="51" t="e">
        <f>Лист2!#REF!</f>
        <v>#REF!</v>
      </c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5" customHeight="1" x14ac:dyDescent="0.2">
      <c r="A18" s="188"/>
      <c r="B18" s="188"/>
      <c r="C18" s="188"/>
      <c r="D18" s="188"/>
      <c r="E18" s="188"/>
      <c r="F18" s="188"/>
      <c r="G18" s="188"/>
      <c r="H18" s="188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">
      <c r="A19" s="1"/>
      <c r="B19" s="204" t="str">
        <f>Назви!A7</f>
        <v xml:space="preserve">Щомісячна плата за обслуговування кредитної заборгованості, % </v>
      </c>
      <c r="C19" s="205">
        <f>Назви!B7</f>
        <v>0</v>
      </c>
      <c r="D19" s="205">
        <f>Назви!C7</f>
        <v>0</v>
      </c>
      <c r="E19" s="229">
        <f>Назви!D7</f>
        <v>0</v>
      </c>
      <c r="F19" s="134">
        <f>VLOOKUP(H$2,Лист2!$A:$G,6,0)</f>
        <v>4.99E-2</v>
      </c>
      <c r="G19" s="175"/>
      <c r="H19" s="173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">
      <c r="A20" s="1"/>
      <c r="B20" s="135"/>
      <c r="C20" s="136"/>
      <c r="D20" s="135"/>
      <c r="E20" s="136"/>
      <c r="F20" s="137"/>
      <c r="G20" s="138"/>
      <c r="H20" s="139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">
      <c r="A21" s="1"/>
      <c r="B21" s="204" t="str">
        <f>Назви!A9</f>
        <v>Термін кредитування (міс.)</v>
      </c>
      <c r="C21" s="205">
        <f>Назви!B9</f>
        <v>0</v>
      </c>
      <c r="D21" s="205">
        <f>Назви!C9</f>
        <v>0</v>
      </c>
      <c r="E21" s="229">
        <f>Назви!D9</f>
        <v>0</v>
      </c>
      <c r="F21" s="141">
        <f>VLOOKUP(H$2,Лист2!$A:$G,3,0)</f>
        <v>18</v>
      </c>
      <c r="G21" s="175"/>
      <c r="H21" s="173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">
      <c r="A22" s="1"/>
      <c r="B22" s="102"/>
      <c r="C22" s="142"/>
      <c r="D22" s="102"/>
      <c r="E22" s="148">
        <f>F5*F11</f>
        <v>0</v>
      </c>
      <c r="F22" s="111"/>
      <c r="G22" s="138"/>
      <c r="H22" s="139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">
      <c r="A23" s="1"/>
      <c r="B23" s="102"/>
      <c r="C23" s="142"/>
      <c r="D23" s="102"/>
      <c r="E23" s="149">
        <f>E22+E3</f>
        <v>71400</v>
      </c>
      <c r="F23" s="111"/>
      <c r="G23" s="138"/>
      <c r="H23" s="139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">
      <c r="A24" s="1"/>
      <c r="B24" s="224" t="str">
        <f>Назви!A14</f>
        <v>Орієнтовні загальні витрати за кредитом, грн.</v>
      </c>
      <c r="C24" s="225"/>
      <c r="D24" s="225"/>
      <c r="E24" s="225"/>
      <c r="F24" s="160">
        <f>G100-F5</f>
        <v>44165.030000000042</v>
      </c>
      <c r="G24" s="138"/>
      <c r="H24" s="139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">
      <c r="A25" s="1"/>
      <c r="B25" s="135"/>
      <c r="C25" s="135"/>
      <c r="D25" s="135"/>
      <c r="E25" s="135"/>
      <c r="F25" s="143"/>
      <c r="G25" s="138"/>
      <c r="H25" s="139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">
      <c r="A26" s="1"/>
      <c r="B26" s="224" t="str">
        <f>Назви!A16</f>
        <v>Орієнтовна загальна вартість кредиту, грн.</v>
      </c>
      <c r="C26" s="225">
        <f>Назви!B14</f>
        <v>0</v>
      </c>
      <c r="D26" s="225">
        <f>Назви!C14</f>
        <v>0</v>
      </c>
      <c r="E26" s="226">
        <f>Назви!D14</f>
        <v>0</v>
      </c>
      <c r="F26" s="144">
        <f>F5+F24</f>
        <v>114165.03000000004</v>
      </c>
      <c r="G26" s="176"/>
      <c r="H26" s="174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">
      <c r="A27" s="1"/>
      <c r="B27" s="145"/>
      <c r="C27" s="145"/>
      <c r="D27" s="145"/>
      <c r="E27" s="145"/>
      <c r="F27" s="146"/>
      <c r="G27" s="138"/>
      <c r="H27" s="139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">
      <c r="A28" s="1"/>
      <c r="B28" s="224" t="str">
        <f>Назви!A18</f>
        <v>Реальна річна процентна ставка, %</v>
      </c>
      <c r="C28" s="225">
        <f>Назви!B16</f>
        <v>0</v>
      </c>
      <c r="D28" s="225">
        <f>Назви!C16</f>
        <v>0</v>
      </c>
      <c r="E28" s="226">
        <f>Назви!D16</f>
        <v>0</v>
      </c>
      <c r="F28" s="147">
        <f ca="1">XIRR(G39:G87,C39:C87)</f>
        <v>0.79109574556350726</v>
      </c>
      <c r="G28" s="175"/>
      <c r="H28" s="173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">
      <c r="A30" s="1"/>
      <c r="B30" s="227" t="str">
        <f>Назви!A19</f>
        <v>Інший термін</v>
      </c>
      <c r="C30" s="228">
        <f>Назви!B19</f>
        <v>0</v>
      </c>
      <c r="D30" s="122" t="str">
        <f>Назви!C19</f>
        <v>Щомісячний платіж</v>
      </c>
      <c r="E30" s="123" t="str">
        <f>Назви!D19</f>
        <v>Переплата у грн.               за весь період</v>
      </c>
      <c r="F30" s="124" t="str">
        <f>Назви!E19</f>
        <v>Переплата у відсотках за весь період</v>
      </c>
      <c r="G30" s="124" t="str">
        <f>Назви!F19</f>
        <v>Переплата в місяць</v>
      </c>
      <c r="H30" s="124" t="str">
        <f>Назви!G19</f>
        <v>Переплата в день</v>
      </c>
      <c r="I30" s="124" t="str">
        <f>Назви!H19</f>
        <v>Щодененний платіж</v>
      </c>
      <c r="J30" s="51"/>
    </row>
    <row r="31" spans="1:45" hidden="1" outlineLevel="1" x14ac:dyDescent="0.2">
      <c r="A31" s="40" t="str">
        <f>LEFT(B31,2)</f>
        <v>24</v>
      </c>
      <c r="B31" s="217" t="s">
        <v>32</v>
      </c>
      <c r="C31" s="218"/>
      <c r="D31" s="125">
        <f>IF(ISERROR(M28),"",M28)</f>
        <v>0</v>
      </c>
      <c r="E31" s="125" t="str">
        <f>IF(ISERROR(#REF!),"",#REF!)</f>
        <v/>
      </c>
      <c r="F31" s="126">
        <f>IF(ISERROR(M26),"",M26)</f>
        <v>0</v>
      </c>
      <c r="G31" s="127" t="str">
        <f>IF(ISERROR(E31/A31),"",E31/A31)</f>
        <v/>
      </c>
      <c r="H31" s="128" t="str">
        <f>IF(ISERROR(E31/A31/G$3),"",E31/A31/G$3)</f>
        <v/>
      </c>
      <c r="I31" s="129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">
      <c r="A32" s="40" t="str">
        <f>LEFT(B32,2)</f>
        <v>18</v>
      </c>
      <c r="B32" s="217" t="s">
        <v>33</v>
      </c>
      <c r="C32" s="218"/>
      <c r="D32" s="130">
        <f>IF(ISERROR(N28),"",N28)</f>
        <v>0</v>
      </c>
      <c r="E32" s="130" t="str">
        <f>IF(ISERROR(#REF!),"",#REF!)</f>
        <v/>
      </c>
      <c r="F32" s="131">
        <f>IF(ISERROR(N26),"",N26)</f>
        <v>0</v>
      </c>
      <c r="G32" s="127" t="str">
        <f>IF(ISERROR(E32/A32),"",E32/A32)</f>
        <v/>
      </c>
      <c r="H32" s="128" t="str">
        <f>IF(ISERROR(E32/A32/G$3),"",E32/A32/G$3)</f>
        <v/>
      </c>
      <c r="I32" s="129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">
      <c r="A33" s="40" t="str">
        <f>LEFT(B33,2)</f>
        <v>12</v>
      </c>
      <c r="B33" s="217" t="s">
        <v>9</v>
      </c>
      <c r="C33" s="218"/>
      <c r="D33" s="130">
        <f>IF(ISERROR(O28),"",O28)</f>
        <v>0</v>
      </c>
      <c r="E33" s="130" t="str">
        <f>IF(ISERROR(#REF!),"",#REF!)</f>
        <v/>
      </c>
      <c r="F33" s="131">
        <f>IF(ISERROR(O26),"",O26)</f>
        <v>0</v>
      </c>
      <c r="G33" s="127" t="str">
        <f>IF(ISERROR(E33/A33),"",E33/A33)</f>
        <v/>
      </c>
      <c r="H33" s="128" t="str">
        <f>IF(ISERROR(E33/A33/G$3),"",E33/A33/G$3)</f>
        <v/>
      </c>
      <c r="I33" s="129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">
      <c r="A34" s="40" t="str">
        <f>LEFT(B34,2)</f>
        <v/>
      </c>
      <c r="B34" s="217"/>
      <c r="C34" s="218"/>
      <c r="D34" s="130">
        <f>IF(ISERROR(P28),"",P28)</f>
        <v>0</v>
      </c>
      <c r="E34" s="130" t="str">
        <f>IF(ISERROR(#REF!),"",#REF!)</f>
        <v/>
      </c>
      <c r="F34" s="131">
        <f>IF(ISERROR(P26),"",P26)</f>
        <v>0</v>
      </c>
      <c r="G34" s="127" t="str">
        <f>IF(ISERROR(E34/A34),"",E34/A34)</f>
        <v/>
      </c>
      <c r="H34" s="128" t="str">
        <f>IF(ISERROR(E34/A34/G$3),"",E34/A34/G$3)</f>
        <v/>
      </c>
      <c r="I34" s="129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5" thickBot="1" x14ac:dyDescent="0.25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.75" thickBot="1" x14ac:dyDescent="0.25">
      <c r="A37" s="1"/>
      <c r="B37" s="219" t="str">
        <f>Назви!A26</f>
        <v xml:space="preserve">ГРАФІК СПЛАТИ КРЕДИТУ </v>
      </c>
      <c r="C37" s="220"/>
      <c r="D37" s="220"/>
      <c r="E37" s="220"/>
      <c r="F37" s="220"/>
      <c r="G37" s="220"/>
      <c r="H37" s="221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5" customHeight="1" thickBot="1" x14ac:dyDescent="0.25">
      <c r="A38" s="1"/>
      <c r="B38" s="222" t="str">
        <f>Назви!A27</f>
        <v>Місяць</v>
      </c>
      <c r="C38" s="223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22" t="str">
        <f>Назви!F27</f>
        <v>Загальна сума внесків до повернення в місяць, грн.</v>
      </c>
      <c r="H38" s="223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9" hidden="1" customHeight="1" thickBot="1" x14ac:dyDescent="0.25">
      <c r="A39" s="1"/>
      <c r="B39" s="90">
        <v>0</v>
      </c>
      <c r="C39" s="159">
        <f ca="1">TODAY()</f>
        <v>45856</v>
      </c>
      <c r="D39" s="91"/>
      <c r="E39" s="92"/>
      <c r="F39" s="91"/>
      <c r="G39" s="158">
        <f>-F5</f>
        <v>-70000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">
      <c r="A40" s="1">
        <v>1</v>
      </c>
      <c r="B40" s="101">
        <v>1</v>
      </c>
      <c r="C40" s="106">
        <f ca="1">DATE(YEAR(C39),MONTH(C39)+1,DAY(C39))</f>
        <v>45887</v>
      </c>
      <c r="D40" s="19">
        <f>IF(B40&lt;=$F$21,$F$7/$F$21,0)</f>
        <v>3966.6666666666665</v>
      </c>
      <c r="E40" s="20">
        <f>IF(AND(B40&gt;F$13,B40&lt;=$F$21),F$7*F$19,0)</f>
        <v>0</v>
      </c>
      <c r="F40" s="182">
        <f>IF(B40&lt;=$F$21,F$7*F$9/12,0)</f>
        <v>0.59500000000000008</v>
      </c>
      <c r="G40" s="208">
        <f t="shared" ref="G40:G71" si="0">IF(B$40&lt;=F$21,D40+E40+F40,0)</f>
        <v>3967.2616666666663</v>
      </c>
      <c r="H40" s="208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">
      <c r="A41" s="1">
        <v>2</v>
      </c>
      <c r="B41" s="100">
        <v>2</v>
      </c>
      <c r="C41" s="103">
        <f t="shared" ref="C41:C99" ca="1" si="1">DATE(YEAR(C40),MONTH(C40)+1,DAY(C40))</f>
        <v>45918</v>
      </c>
      <c r="D41" s="19">
        <f t="shared" ref="D41:D87" si="2">IF(B41&lt;=$F$21,$F$7/$F$21,0)</f>
        <v>3966.6666666666665</v>
      </c>
      <c r="E41" s="20">
        <f t="shared" ref="E41:E99" si="3">IF(AND(B41&gt;F$13,B41&lt;=$F$21),F$7*F$19,0)</f>
        <v>0</v>
      </c>
      <c r="F41" s="182">
        <f t="shared" ref="F41:F99" si="4">IF(B41&lt;=$F$21,F$7*F$9/12,0)</f>
        <v>0.59500000000000008</v>
      </c>
      <c r="G41" s="208">
        <f t="shared" si="0"/>
        <v>3967.2616666666663</v>
      </c>
      <c r="H41" s="208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">
      <c r="A42" s="1">
        <v>3</v>
      </c>
      <c r="B42" s="100">
        <v>3</v>
      </c>
      <c r="C42" s="103">
        <f t="shared" ca="1" si="1"/>
        <v>45948</v>
      </c>
      <c r="D42" s="19">
        <f t="shared" si="2"/>
        <v>3966.6666666666665</v>
      </c>
      <c r="E42" s="20">
        <f t="shared" si="3"/>
        <v>0</v>
      </c>
      <c r="F42" s="182">
        <f t="shared" si="4"/>
        <v>0.59500000000000008</v>
      </c>
      <c r="G42" s="208">
        <f t="shared" si="0"/>
        <v>3967.2616666666663</v>
      </c>
      <c r="H42" s="208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">
      <c r="A43" s="1">
        <v>4</v>
      </c>
      <c r="B43" s="100">
        <v>4</v>
      </c>
      <c r="C43" s="103">
        <f t="shared" ca="1" si="1"/>
        <v>45979</v>
      </c>
      <c r="D43" s="19">
        <f t="shared" si="2"/>
        <v>3966.6666666666665</v>
      </c>
      <c r="E43" s="20">
        <f t="shared" si="3"/>
        <v>0</v>
      </c>
      <c r="F43" s="182">
        <f t="shared" si="4"/>
        <v>0.59500000000000008</v>
      </c>
      <c r="G43" s="208">
        <f t="shared" si="0"/>
        <v>3967.2616666666663</v>
      </c>
      <c r="H43" s="208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">
      <c r="A44" s="1">
        <v>5</v>
      </c>
      <c r="B44" s="100">
        <v>5</v>
      </c>
      <c r="C44" s="103">
        <f t="shared" ca="1" si="1"/>
        <v>46009</v>
      </c>
      <c r="D44" s="19">
        <f t="shared" si="2"/>
        <v>3966.6666666666665</v>
      </c>
      <c r="E44" s="20">
        <f t="shared" si="3"/>
        <v>0</v>
      </c>
      <c r="F44" s="182">
        <f t="shared" si="4"/>
        <v>0.59500000000000008</v>
      </c>
      <c r="G44" s="208">
        <f t="shared" si="0"/>
        <v>3967.2616666666663</v>
      </c>
      <c r="H44" s="208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">
      <c r="A45" s="1">
        <v>6</v>
      </c>
      <c r="B45" s="100">
        <v>6</v>
      </c>
      <c r="C45" s="103">
        <f t="shared" ca="1" si="1"/>
        <v>46040</v>
      </c>
      <c r="D45" s="19">
        <f t="shared" si="2"/>
        <v>3966.6666666666665</v>
      </c>
      <c r="E45" s="20">
        <f t="shared" si="3"/>
        <v>0</v>
      </c>
      <c r="F45" s="182">
        <f t="shared" si="4"/>
        <v>0.59500000000000008</v>
      </c>
      <c r="G45" s="208">
        <f t="shared" si="0"/>
        <v>3967.2616666666663</v>
      </c>
      <c r="H45" s="208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">
      <c r="A46" s="1">
        <v>7</v>
      </c>
      <c r="B46" s="100">
        <v>7</v>
      </c>
      <c r="C46" s="103">
        <f t="shared" ca="1" si="1"/>
        <v>46071</v>
      </c>
      <c r="D46" s="19">
        <f t="shared" si="2"/>
        <v>3966.6666666666665</v>
      </c>
      <c r="E46" s="20">
        <f t="shared" si="3"/>
        <v>3562.86</v>
      </c>
      <c r="F46" s="182">
        <f t="shared" si="4"/>
        <v>0.59500000000000008</v>
      </c>
      <c r="G46" s="208">
        <f t="shared" si="0"/>
        <v>7530.1216666666669</v>
      </c>
      <c r="H46" s="208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">
      <c r="A47" s="1">
        <v>8</v>
      </c>
      <c r="B47" s="100">
        <v>8</v>
      </c>
      <c r="C47" s="103">
        <f t="shared" ca="1" si="1"/>
        <v>46099</v>
      </c>
      <c r="D47" s="19">
        <f t="shared" si="2"/>
        <v>3966.6666666666665</v>
      </c>
      <c r="E47" s="20">
        <f t="shared" si="3"/>
        <v>3562.86</v>
      </c>
      <c r="F47" s="182">
        <f t="shared" si="4"/>
        <v>0.59500000000000008</v>
      </c>
      <c r="G47" s="208">
        <f t="shared" si="0"/>
        <v>7530.1216666666669</v>
      </c>
      <c r="H47" s="208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">
      <c r="A48" s="1">
        <v>9</v>
      </c>
      <c r="B48" s="100">
        <v>9</v>
      </c>
      <c r="C48" s="103">
        <f t="shared" ca="1" si="1"/>
        <v>46130</v>
      </c>
      <c r="D48" s="19">
        <f t="shared" si="2"/>
        <v>3966.6666666666665</v>
      </c>
      <c r="E48" s="20">
        <f t="shared" si="3"/>
        <v>3562.86</v>
      </c>
      <c r="F48" s="182">
        <f t="shared" si="4"/>
        <v>0.59500000000000008</v>
      </c>
      <c r="G48" s="208">
        <f t="shared" si="0"/>
        <v>7530.1216666666669</v>
      </c>
      <c r="H48" s="208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">
      <c r="A49" s="1">
        <v>10</v>
      </c>
      <c r="B49" s="100">
        <v>10</v>
      </c>
      <c r="C49" s="103">
        <f t="shared" ca="1" si="1"/>
        <v>46160</v>
      </c>
      <c r="D49" s="19">
        <f t="shared" si="2"/>
        <v>3966.6666666666665</v>
      </c>
      <c r="E49" s="20">
        <f t="shared" si="3"/>
        <v>3562.86</v>
      </c>
      <c r="F49" s="182">
        <f t="shared" si="4"/>
        <v>0.59500000000000008</v>
      </c>
      <c r="G49" s="208">
        <f t="shared" si="0"/>
        <v>7530.1216666666669</v>
      </c>
      <c r="H49" s="208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">
      <c r="A50" s="1">
        <v>22</v>
      </c>
      <c r="B50" s="100">
        <v>11</v>
      </c>
      <c r="C50" s="103">
        <f t="shared" ca="1" si="1"/>
        <v>46191</v>
      </c>
      <c r="D50" s="19">
        <f t="shared" si="2"/>
        <v>3966.6666666666665</v>
      </c>
      <c r="E50" s="20">
        <f t="shared" si="3"/>
        <v>3562.86</v>
      </c>
      <c r="F50" s="182">
        <f t="shared" si="4"/>
        <v>0.59500000000000008</v>
      </c>
      <c r="G50" s="208">
        <f t="shared" si="0"/>
        <v>7530.1216666666669</v>
      </c>
      <c r="H50" s="208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">
      <c r="A51" s="1">
        <v>22</v>
      </c>
      <c r="B51" s="100">
        <v>12</v>
      </c>
      <c r="C51" s="103">
        <f t="shared" ca="1" si="1"/>
        <v>46221</v>
      </c>
      <c r="D51" s="19">
        <f t="shared" si="2"/>
        <v>3966.6666666666665</v>
      </c>
      <c r="E51" s="20">
        <f t="shared" si="3"/>
        <v>3562.86</v>
      </c>
      <c r="F51" s="182">
        <f t="shared" si="4"/>
        <v>0.59500000000000008</v>
      </c>
      <c r="G51" s="208">
        <f t="shared" si="0"/>
        <v>7530.1216666666669</v>
      </c>
      <c r="H51" s="208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">
      <c r="A52" s="1">
        <v>13</v>
      </c>
      <c r="B52" s="100">
        <v>13</v>
      </c>
      <c r="C52" s="103">
        <f t="shared" ca="1" si="1"/>
        <v>46252</v>
      </c>
      <c r="D52" s="19">
        <f t="shared" si="2"/>
        <v>3966.6666666666665</v>
      </c>
      <c r="E52" s="20">
        <f t="shared" si="3"/>
        <v>3562.86</v>
      </c>
      <c r="F52" s="182">
        <f t="shared" si="4"/>
        <v>0.59500000000000008</v>
      </c>
      <c r="G52" s="208">
        <f t="shared" si="0"/>
        <v>7530.1216666666669</v>
      </c>
      <c r="H52" s="208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">
      <c r="A53" s="1">
        <v>14</v>
      </c>
      <c r="B53" s="100">
        <v>14</v>
      </c>
      <c r="C53" s="103">
        <f t="shared" ca="1" si="1"/>
        <v>46283</v>
      </c>
      <c r="D53" s="19">
        <f t="shared" si="2"/>
        <v>3966.6666666666665</v>
      </c>
      <c r="E53" s="20">
        <f t="shared" si="3"/>
        <v>3562.86</v>
      </c>
      <c r="F53" s="182">
        <f t="shared" si="4"/>
        <v>0.59500000000000008</v>
      </c>
      <c r="G53" s="208">
        <f t="shared" si="0"/>
        <v>7530.1216666666669</v>
      </c>
      <c r="H53" s="208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">
      <c r="A54" s="1">
        <v>15</v>
      </c>
      <c r="B54" s="100">
        <v>15</v>
      </c>
      <c r="C54" s="103">
        <f t="shared" ca="1" si="1"/>
        <v>46313</v>
      </c>
      <c r="D54" s="19">
        <f t="shared" si="2"/>
        <v>3966.6666666666665</v>
      </c>
      <c r="E54" s="20">
        <f t="shared" si="3"/>
        <v>3562.86</v>
      </c>
      <c r="F54" s="182">
        <f t="shared" si="4"/>
        <v>0.59500000000000008</v>
      </c>
      <c r="G54" s="208">
        <f t="shared" si="0"/>
        <v>7530.1216666666669</v>
      </c>
      <c r="H54" s="208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">
      <c r="A55" s="1">
        <v>16</v>
      </c>
      <c r="B55" s="100">
        <v>16</v>
      </c>
      <c r="C55" s="103">
        <f t="shared" ca="1" si="1"/>
        <v>46344</v>
      </c>
      <c r="D55" s="19">
        <f t="shared" si="2"/>
        <v>3966.6666666666665</v>
      </c>
      <c r="E55" s="20">
        <f t="shared" si="3"/>
        <v>3562.86</v>
      </c>
      <c r="F55" s="182">
        <f t="shared" si="4"/>
        <v>0.59500000000000008</v>
      </c>
      <c r="G55" s="208">
        <f t="shared" si="0"/>
        <v>7530.1216666666669</v>
      </c>
      <c r="H55" s="208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">
      <c r="A56" s="1">
        <v>22</v>
      </c>
      <c r="B56" s="100">
        <v>17</v>
      </c>
      <c r="C56" s="103">
        <f t="shared" ca="1" si="1"/>
        <v>46374</v>
      </c>
      <c r="D56" s="19">
        <f t="shared" si="2"/>
        <v>3966.6666666666665</v>
      </c>
      <c r="E56" s="20">
        <f t="shared" si="3"/>
        <v>3562.86</v>
      </c>
      <c r="F56" s="182">
        <f t="shared" si="4"/>
        <v>0.59500000000000008</v>
      </c>
      <c r="G56" s="208">
        <f t="shared" si="0"/>
        <v>7530.1216666666669</v>
      </c>
      <c r="H56" s="208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">
      <c r="A57" s="1">
        <v>22</v>
      </c>
      <c r="B57" s="100">
        <v>18</v>
      </c>
      <c r="C57" s="103">
        <f t="shared" ca="1" si="1"/>
        <v>46405</v>
      </c>
      <c r="D57" s="19">
        <f t="shared" si="2"/>
        <v>3966.6666666666665</v>
      </c>
      <c r="E57" s="20">
        <f t="shared" si="3"/>
        <v>3562.86</v>
      </c>
      <c r="F57" s="182">
        <f t="shared" si="4"/>
        <v>0.59500000000000008</v>
      </c>
      <c r="G57" s="208">
        <f t="shared" si="0"/>
        <v>7530.1216666666669</v>
      </c>
      <c r="H57" s="208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">
      <c r="A58" s="1">
        <v>19</v>
      </c>
      <c r="B58" s="100">
        <v>19</v>
      </c>
      <c r="C58" s="103">
        <f t="shared" ca="1" si="1"/>
        <v>46436</v>
      </c>
      <c r="D58" s="19">
        <f t="shared" si="2"/>
        <v>0</v>
      </c>
      <c r="E58" s="20">
        <f t="shared" si="3"/>
        <v>0</v>
      </c>
      <c r="F58" s="182">
        <f t="shared" si="4"/>
        <v>0</v>
      </c>
      <c r="G58" s="208">
        <f t="shared" si="0"/>
        <v>0</v>
      </c>
      <c r="H58" s="208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">
      <c r="A59" s="1">
        <v>20</v>
      </c>
      <c r="B59" s="100">
        <v>20</v>
      </c>
      <c r="C59" s="103">
        <f t="shared" ca="1" si="1"/>
        <v>46464</v>
      </c>
      <c r="D59" s="19">
        <f t="shared" si="2"/>
        <v>0</v>
      </c>
      <c r="E59" s="20">
        <f t="shared" si="3"/>
        <v>0</v>
      </c>
      <c r="F59" s="182">
        <f t="shared" si="4"/>
        <v>0</v>
      </c>
      <c r="G59" s="208">
        <f t="shared" si="0"/>
        <v>0</v>
      </c>
      <c r="H59" s="208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">
      <c r="A60" s="43">
        <v>21</v>
      </c>
      <c r="B60" s="100">
        <v>21</v>
      </c>
      <c r="C60" s="103">
        <f t="shared" ca="1" si="1"/>
        <v>46495</v>
      </c>
      <c r="D60" s="19">
        <f t="shared" si="2"/>
        <v>0</v>
      </c>
      <c r="E60" s="20">
        <f t="shared" si="3"/>
        <v>0</v>
      </c>
      <c r="F60" s="182">
        <f t="shared" si="4"/>
        <v>0</v>
      </c>
      <c r="G60" s="208">
        <f t="shared" si="0"/>
        <v>0</v>
      </c>
      <c r="H60" s="208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">
      <c r="A61" s="43">
        <v>22</v>
      </c>
      <c r="B61" s="100">
        <v>22</v>
      </c>
      <c r="C61" s="103">
        <f t="shared" ca="1" si="1"/>
        <v>46525</v>
      </c>
      <c r="D61" s="19">
        <f t="shared" si="2"/>
        <v>0</v>
      </c>
      <c r="E61" s="20">
        <f t="shared" si="3"/>
        <v>0</v>
      </c>
      <c r="F61" s="182">
        <f t="shared" si="4"/>
        <v>0</v>
      </c>
      <c r="G61" s="208">
        <f t="shared" si="0"/>
        <v>0</v>
      </c>
      <c r="H61" s="208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">
      <c r="A62" s="43">
        <v>25</v>
      </c>
      <c r="B62" s="100">
        <v>23</v>
      </c>
      <c r="C62" s="103">
        <f t="shared" ca="1" si="1"/>
        <v>46556</v>
      </c>
      <c r="D62" s="19">
        <f t="shared" si="2"/>
        <v>0</v>
      </c>
      <c r="E62" s="20">
        <f t="shared" si="3"/>
        <v>0</v>
      </c>
      <c r="F62" s="182">
        <f t="shared" si="4"/>
        <v>0</v>
      </c>
      <c r="G62" s="208">
        <f t="shared" si="0"/>
        <v>0</v>
      </c>
      <c r="H62" s="208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">
      <c r="A63" s="43"/>
      <c r="B63" s="100">
        <v>24</v>
      </c>
      <c r="C63" s="103">
        <f t="shared" ca="1" si="1"/>
        <v>46586</v>
      </c>
      <c r="D63" s="19">
        <f t="shared" si="2"/>
        <v>0</v>
      </c>
      <c r="E63" s="20">
        <f t="shared" si="3"/>
        <v>0</v>
      </c>
      <c r="F63" s="182">
        <f t="shared" si="4"/>
        <v>0</v>
      </c>
      <c r="G63" s="208">
        <f t="shared" si="0"/>
        <v>0</v>
      </c>
      <c r="H63" s="208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">
      <c r="A64" s="43"/>
      <c r="B64" s="100">
        <v>25</v>
      </c>
      <c r="C64" s="103">
        <f t="shared" ca="1" si="1"/>
        <v>46617</v>
      </c>
      <c r="D64" s="19">
        <f t="shared" si="2"/>
        <v>0</v>
      </c>
      <c r="E64" s="20">
        <f t="shared" si="3"/>
        <v>0</v>
      </c>
      <c r="F64" s="182">
        <f t="shared" si="4"/>
        <v>0</v>
      </c>
      <c r="G64" s="208">
        <f t="shared" si="0"/>
        <v>0</v>
      </c>
      <c r="H64" s="208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">
      <c r="A65" s="43"/>
      <c r="B65" s="100">
        <v>26</v>
      </c>
      <c r="C65" s="103">
        <f t="shared" ca="1" si="1"/>
        <v>46648</v>
      </c>
      <c r="D65" s="19">
        <f t="shared" si="2"/>
        <v>0</v>
      </c>
      <c r="E65" s="20">
        <f t="shared" si="3"/>
        <v>0</v>
      </c>
      <c r="F65" s="182">
        <f t="shared" si="4"/>
        <v>0</v>
      </c>
      <c r="G65" s="208">
        <f t="shared" si="0"/>
        <v>0</v>
      </c>
      <c r="H65" s="208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">
      <c r="A66" s="43"/>
      <c r="B66" s="100">
        <v>27</v>
      </c>
      <c r="C66" s="103">
        <f t="shared" ca="1" si="1"/>
        <v>46678</v>
      </c>
      <c r="D66" s="19">
        <f t="shared" si="2"/>
        <v>0</v>
      </c>
      <c r="E66" s="20">
        <f t="shared" si="3"/>
        <v>0</v>
      </c>
      <c r="F66" s="182">
        <f t="shared" si="4"/>
        <v>0</v>
      </c>
      <c r="G66" s="208">
        <f t="shared" si="0"/>
        <v>0</v>
      </c>
      <c r="H66" s="208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">
      <c r="A67" s="43"/>
      <c r="B67" s="100">
        <v>28</v>
      </c>
      <c r="C67" s="103">
        <f t="shared" ca="1" si="1"/>
        <v>46709</v>
      </c>
      <c r="D67" s="19">
        <f t="shared" si="2"/>
        <v>0</v>
      </c>
      <c r="E67" s="20">
        <f t="shared" si="3"/>
        <v>0</v>
      </c>
      <c r="F67" s="182">
        <f t="shared" si="4"/>
        <v>0</v>
      </c>
      <c r="G67" s="208">
        <f t="shared" si="0"/>
        <v>0</v>
      </c>
      <c r="H67" s="208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">
      <c r="A68" s="43"/>
      <c r="B68" s="100">
        <v>29</v>
      </c>
      <c r="C68" s="103">
        <f t="shared" ca="1" si="1"/>
        <v>46739</v>
      </c>
      <c r="D68" s="19">
        <f t="shared" si="2"/>
        <v>0</v>
      </c>
      <c r="E68" s="20">
        <f t="shared" si="3"/>
        <v>0</v>
      </c>
      <c r="F68" s="182">
        <f t="shared" si="4"/>
        <v>0</v>
      </c>
      <c r="G68" s="208">
        <f t="shared" si="0"/>
        <v>0</v>
      </c>
      <c r="H68" s="208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">
      <c r="A69" s="43">
        <v>25</v>
      </c>
      <c r="B69" s="100">
        <v>30</v>
      </c>
      <c r="C69" s="103">
        <f t="shared" ca="1" si="1"/>
        <v>46770</v>
      </c>
      <c r="D69" s="19">
        <f t="shared" si="2"/>
        <v>0</v>
      </c>
      <c r="E69" s="20">
        <f t="shared" si="3"/>
        <v>0</v>
      </c>
      <c r="F69" s="182">
        <f t="shared" si="4"/>
        <v>0</v>
      </c>
      <c r="G69" s="208">
        <f t="shared" si="0"/>
        <v>0</v>
      </c>
      <c r="H69" s="208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">
      <c r="A70" s="43"/>
      <c r="B70" s="100">
        <v>31</v>
      </c>
      <c r="C70" s="103">
        <f t="shared" ca="1" si="1"/>
        <v>46801</v>
      </c>
      <c r="D70" s="19">
        <f t="shared" si="2"/>
        <v>0</v>
      </c>
      <c r="E70" s="20">
        <f t="shared" si="3"/>
        <v>0</v>
      </c>
      <c r="F70" s="182">
        <f t="shared" si="4"/>
        <v>0</v>
      </c>
      <c r="G70" s="208">
        <f t="shared" si="0"/>
        <v>0</v>
      </c>
      <c r="H70" s="208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">
      <c r="A71" s="43"/>
      <c r="B71" s="100">
        <v>32</v>
      </c>
      <c r="C71" s="103">
        <f t="shared" ca="1" si="1"/>
        <v>46830</v>
      </c>
      <c r="D71" s="19">
        <f t="shared" si="2"/>
        <v>0</v>
      </c>
      <c r="E71" s="20">
        <f t="shared" si="3"/>
        <v>0</v>
      </c>
      <c r="F71" s="182">
        <f t="shared" si="4"/>
        <v>0</v>
      </c>
      <c r="G71" s="208">
        <f t="shared" si="0"/>
        <v>0</v>
      </c>
      <c r="H71" s="208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">
      <c r="A72" s="43"/>
      <c r="B72" s="100">
        <v>33</v>
      </c>
      <c r="C72" s="103">
        <f t="shared" ca="1" si="1"/>
        <v>46861</v>
      </c>
      <c r="D72" s="19">
        <f t="shared" si="2"/>
        <v>0</v>
      </c>
      <c r="E72" s="20">
        <f t="shared" si="3"/>
        <v>0</v>
      </c>
      <c r="F72" s="182">
        <f t="shared" si="4"/>
        <v>0</v>
      </c>
      <c r="G72" s="208">
        <f t="shared" ref="G72:G99" si="5">IF(B$40&lt;=F$21,D72+E72+F72,0)</f>
        <v>0</v>
      </c>
      <c r="H72" s="208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">
      <c r="A73" s="43"/>
      <c r="B73" s="100">
        <v>34</v>
      </c>
      <c r="C73" s="103">
        <f t="shared" ca="1" si="1"/>
        <v>46891</v>
      </c>
      <c r="D73" s="19">
        <f t="shared" si="2"/>
        <v>0</v>
      </c>
      <c r="E73" s="20">
        <f t="shared" si="3"/>
        <v>0</v>
      </c>
      <c r="F73" s="182">
        <f t="shared" si="4"/>
        <v>0</v>
      </c>
      <c r="G73" s="208">
        <f t="shared" si="5"/>
        <v>0</v>
      </c>
      <c r="H73" s="208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">
      <c r="A74" s="43"/>
      <c r="B74" s="100">
        <v>35</v>
      </c>
      <c r="C74" s="103">
        <f t="shared" ca="1" si="1"/>
        <v>46922</v>
      </c>
      <c r="D74" s="19">
        <f t="shared" si="2"/>
        <v>0</v>
      </c>
      <c r="E74" s="20">
        <f t="shared" si="3"/>
        <v>0</v>
      </c>
      <c r="F74" s="182">
        <f t="shared" si="4"/>
        <v>0</v>
      </c>
      <c r="G74" s="208">
        <f t="shared" si="5"/>
        <v>0</v>
      </c>
      <c r="H74" s="208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">
      <c r="A75" s="43"/>
      <c r="B75" s="100">
        <v>36</v>
      </c>
      <c r="C75" s="103">
        <f t="shared" ca="1" si="1"/>
        <v>46952</v>
      </c>
      <c r="D75" s="19">
        <f t="shared" si="2"/>
        <v>0</v>
      </c>
      <c r="E75" s="20">
        <f t="shared" si="3"/>
        <v>0</v>
      </c>
      <c r="F75" s="182">
        <f t="shared" si="4"/>
        <v>0</v>
      </c>
      <c r="G75" s="208">
        <f t="shared" si="5"/>
        <v>0</v>
      </c>
      <c r="H75" s="208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">
      <c r="A76" s="43"/>
      <c r="B76" s="100">
        <v>37</v>
      </c>
      <c r="C76" s="103">
        <f t="shared" ca="1" si="1"/>
        <v>46983</v>
      </c>
      <c r="D76" s="19">
        <f t="shared" si="2"/>
        <v>0</v>
      </c>
      <c r="E76" s="20">
        <f t="shared" si="3"/>
        <v>0</v>
      </c>
      <c r="F76" s="182">
        <f t="shared" si="4"/>
        <v>0</v>
      </c>
      <c r="G76" s="208">
        <f t="shared" si="5"/>
        <v>0</v>
      </c>
      <c r="H76" s="208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">
      <c r="A77" s="43"/>
      <c r="B77" s="100">
        <v>38</v>
      </c>
      <c r="C77" s="103">
        <f t="shared" ca="1" si="1"/>
        <v>47014</v>
      </c>
      <c r="D77" s="19">
        <f t="shared" si="2"/>
        <v>0</v>
      </c>
      <c r="E77" s="20">
        <f t="shared" si="3"/>
        <v>0</v>
      </c>
      <c r="F77" s="182">
        <f t="shared" si="4"/>
        <v>0</v>
      </c>
      <c r="G77" s="208">
        <f t="shared" si="5"/>
        <v>0</v>
      </c>
      <c r="H77" s="208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">
      <c r="A78" s="43"/>
      <c r="B78" s="100">
        <v>39</v>
      </c>
      <c r="C78" s="103">
        <f t="shared" ca="1" si="1"/>
        <v>47044</v>
      </c>
      <c r="D78" s="19">
        <f t="shared" si="2"/>
        <v>0</v>
      </c>
      <c r="E78" s="20">
        <f t="shared" si="3"/>
        <v>0</v>
      </c>
      <c r="F78" s="182">
        <f t="shared" si="4"/>
        <v>0</v>
      </c>
      <c r="G78" s="208">
        <f t="shared" si="5"/>
        <v>0</v>
      </c>
      <c r="H78" s="208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">
      <c r="A79" s="43"/>
      <c r="B79" s="100">
        <v>40</v>
      </c>
      <c r="C79" s="103">
        <f t="shared" ca="1" si="1"/>
        <v>47075</v>
      </c>
      <c r="D79" s="19">
        <f t="shared" si="2"/>
        <v>0</v>
      </c>
      <c r="E79" s="20">
        <f t="shared" si="3"/>
        <v>0</v>
      </c>
      <c r="F79" s="182">
        <f t="shared" si="4"/>
        <v>0</v>
      </c>
      <c r="G79" s="208">
        <f t="shared" si="5"/>
        <v>0</v>
      </c>
      <c r="H79" s="208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">
      <c r="A80" s="43"/>
      <c r="B80" s="100">
        <v>41</v>
      </c>
      <c r="C80" s="103">
        <f t="shared" ca="1" si="1"/>
        <v>47105</v>
      </c>
      <c r="D80" s="19">
        <f t="shared" si="2"/>
        <v>0</v>
      </c>
      <c r="E80" s="20">
        <f t="shared" si="3"/>
        <v>0</v>
      </c>
      <c r="F80" s="182">
        <f t="shared" si="4"/>
        <v>0</v>
      </c>
      <c r="G80" s="208">
        <f t="shared" si="5"/>
        <v>0</v>
      </c>
      <c r="H80" s="208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">
      <c r="A81" s="43"/>
      <c r="B81" s="100">
        <v>42</v>
      </c>
      <c r="C81" s="103">
        <f t="shared" ca="1" si="1"/>
        <v>47136</v>
      </c>
      <c r="D81" s="19">
        <f t="shared" si="2"/>
        <v>0</v>
      </c>
      <c r="E81" s="20">
        <f t="shared" si="3"/>
        <v>0</v>
      </c>
      <c r="F81" s="182">
        <f t="shared" si="4"/>
        <v>0</v>
      </c>
      <c r="G81" s="208">
        <f t="shared" si="5"/>
        <v>0</v>
      </c>
      <c r="H81" s="208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">
      <c r="A82" s="43"/>
      <c r="B82" s="100">
        <v>43</v>
      </c>
      <c r="C82" s="103">
        <f t="shared" ca="1" si="1"/>
        <v>47167</v>
      </c>
      <c r="D82" s="19">
        <f t="shared" si="2"/>
        <v>0</v>
      </c>
      <c r="E82" s="20">
        <f t="shared" si="3"/>
        <v>0</v>
      </c>
      <c r="F82" s="182">
        <f t="shared" si="4"/>
        <v>0</v>
      </c>
      <c r="G82" s="208">
        <f t="shared" si="5"/>
        <v>0</v>
      </c>
      <c r="H82" s="208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">
      <c r="A83" s="43"/>
      <c r="B83" s="100">
        <v>44</v>
      </c>
      <c r="C83" s="103">
        <f t="shared" ca="1" si="1"/>
        <v>47195</v>
      </c>
      <c r="D83" s="19">
        <f t="shared" si="2"/>
        <v>0</v>
      </c>
      <c r="E83" s="20">
        <f t="shared" si="3"/>
        <v>0</v>
      </c>
      <c r="F83" s="182">
        <f t="shared" si="4"/>
        <v>0</v>
      </c>
      <c r="G83" s="208">
        <f t="shared" si="5"/>
        <v>0</v>
      </c>
      <c r="H83" s="208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">
      <c r="A84" s="43"/>
      <c r="B84" s="100">
        <v>45</v>
      </c>
      <c r="C84" s="103">
        <f t="shared" ca="1" si="1"/>
        <v>47226</v>
      </c>
      <c r="D84" s="19">
        <f t="shared" si="2"/>
        <v>0</v>
      </c>
      <c r="E84" s="20">
        <f t="shared" si="3"/>
        <v>0</v>
      </c>
      <c r="F84" s="182">
        <f t="shared" si="4"/>
        <v>0</v>
      </c>
      <c r="G84" s="208">
        <f t="shared" si="5"/>
        <v>0</v>
      </c>
      <c r="H84" s="208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">
      <c r="A85" s="43"/>
      <c r="B85" s="100">
        <v>46</v>
      </c>
      <c r="C85" s="103">
        <f t="shared" ca="1" si="1"/>
        <v>47256</v>
      </c>
      <c r="D85" s="19">
        <f t="shared" si="2"/>
        <v>0</v>
      </c>
      <c r="E85" s="20">
        <f t="shared" si="3"/>
        <v>0</v>
      </c>
      <c r="F85" s="182">
        <f t="shared" si="4"/>
        <v>0</v>
      </c>
      <c r="G85" s="208">
        <f t="shared" si="5"/>
        <v>0</v>
      </c>
      <c r="H85" s="208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">
      <c r="A86" s="43"/>
      <c r="B86" s="100">
        <v>47</v>
      </c>
      <c r="C86" s="103">
        <f t="shared" ca="1" si="1"/>
        <v>47287</v>
      </c>
      <c r="D86" s="19">
        <f t="shared" si="2"/>
        <v>0</v>
      </c>
      <c r="E86" s="20">
        <f t="shared" si="3"/>
        <v>0</v>
      </c>
      <c r="F86" s="182">
        <f t="shared" si="4"/>
        <v>0</v>
      </c>
      <c r="G86" s="208">
        <f t="shared" si="5"/>
        <v>0</v>
      </c>
      <c r="H86" s="208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">
      <c r="A87" s="43"/>
      <c r="B87" s="100">
        <v>48</v>
      </c>
      <c r="C87" s="103">
        <f t="shared" ca="1" si="1"/>
        <v>47317</v>
      </c>
      <c r="D87" s="19">
        <f t="shared" si="2"/>
        <v>0</v>
      </c>
      <c r="E87" s="20">
        <f t="shared" si="3"/>
        <v>0</v>
      </c>
      <c r="F87" s="182">
        <f t="shared" si="4"/>
        <v>0</v>
      </c>
      <c r="G87" s="208">
        <f t="shared" si="5"/>
        <v>0</v>
      </c>
      <c r="H87" s="208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5" thickBot="1" x14ac:dyDescent="0.25">
      <c r="A88" s="43"/>
      <c r="B88" s="100">
        <v>49</v>
      </c>
      <c r="C88" s="103">
        <f t="shared" ca="1" si="1"/>
        <v>47348</v>
      </c>
      <c r="D88" s="180">
        <f t="shared" ref="D88:D99" si="6">IF(B88&lt;=$F$21,(($F$5+F$15)+(($F$5+F$15)*F$11))/$F$21,0)</f>
        <v>0</v>
      </c>
      <c r="E88" s="181">
        <f t="shared" si="3"/>
        <v>0</v>
      </c>
      <c r="F88" s="182">
        <f t="shared" si="4"/>
        <v>0</v>
      </c>
      <c r="G88" s="215">
        <f t="shared" si="5"/>
        <v>0</v>
      </c>
      <c r="H88" s="216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5" thickBot="1" x14ac:dyDescent="0.25">
      <c r="A89" s="43"/>
      <c r="B89" s="100">
        <v>50</v>
      </c>
      <c r="C89" s="103">
        <f t="shared" ca="1" si="1"/>
        <v>47379</v>
      </c>
      <c r="D89" s="107">
        <f t="shared" si="6"/>
        <v>0</v>
      </c>
      <c r="E89" s="108">
        <f t="shared" si="3"/>
        <v>0</v>
      </c>
      <c r="F89" s="182">
        <f t="shared" si="4"/>
        <v>0</v>
      </c>
      <c r="G89" s="209">
        <f t="shared" si="5"/>
        <v>0</v>
      </c>
      <c r="H89" s="210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5" thickBot="1" x14ac:dyDescent="0.25">
      <c r="A90" s="43"/>
      <c r="B90" s="100">
        <v>51</v>
      </c>
      <c r="C90" s="103">
        <f t="shared" ca="1" si="1"/>
        <v>47409</v>
      </c>
      <c r="D90" s="107">
        <f t="shared" si="6"/>
        <v>0</v>
      </c>
      <c r="E90" s="108">
        <f t="shared" si="3"/>
        <v>0</v>
      </c>
      <c r="F90" s="182">
        <f t="shared" si="4"/>
        <v>0</v>
      </c>
      <c r="G90" s="209">
        <f t="shared" si="5"/>
        <v>0</v>
      </c>
      <c r="H90" s="210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5" thickBot="1" x14ac:dyDescent="0.25">
      <c r="A91" s="43"/>
      <c r="B91" s="100">
        <v>52</v>
      </c>
      <c r="C91" s="103">
        <f t="shared" ca="1" si="1"/>
        <v>47440</v>
      </c>
      <c r="D91" s="107">
        <f t="shared" si="6"/>
        <v>0</v>
      </c>
      <c r="E91" s="108">
        <f t="shared" si="3"/>
        <v>0</v>
      </c>
      <c r="F91" s="182">
        <f t="shared" si="4"/>
        <v>0</v>
      </c>
      <c r="G91" s="209">
        <f t="shared" si="5"/>
        <v>0</v>
      </c>
      <c r="H91" s="210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5" thickBot="1" x14ac:dyDescent="0.25">
      <c r="A92" s="43"/>
      <c r="B92" s="100">
        <v>53</v>
      </c>
      <c r="C92" s="103">
        <f t="shared" ca="1" si="1"/>
        <v>47470</v>
      </c>
      <c r="D92" s="107">
        <f t="shared" si="6"/>
        <v>0</v>
      </c>
      <c r="E92" s="108">
        <f t="shared" si="3"/>
        <v>0</v>
      </c>
      <c r="F92" s="182">
        <f t="shared" si="4"/>
        <v>0</v>
      </c>
      <c r="G92" s="209">
        <f t="shared" si="5"/>
        <v>0</v>
      </c>
      <c r="H92" s="210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5" thickBot="1" x14ac:dyDescent="0.25">
      <c r="A93" s="43"/>
      <c r="B93" s="100">
        <v>54</v>
      </c>
      <c r="C93" s="103">
        <f t="shared" ca="1" si="1"/>
        <v>47501</v>
      </c>
      <c r="D93" s="107">
        <f t="shared" si="6"/>
        <v>0</v>
      </c>
      <c r="E93" s="108">
        <f t="shared" si="3"/>
        <v>0</v>
      </c>
      <c r="F93" s="182">
        <f t="shared" si="4"/>
        <v>0</v>
      </c>
      <c r="G93" s="209">
        <f t="shared" si="5"/>
        <v>0</v>
      </c>
      <c r="H93" s="210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5" thickBot="1" x14ac:dyDescent="0.25">
      <c r="A94" s="43"/>
      <c r="B94" s="100">
        <v>55</v>
      </c>
      <c r="C94" s="103">
        <f t="shared" ca="1" si="1"/>
        <v>47532</v>
      </c>
      <c r="D94" s="107">
        <f t="shared" si="6"/>
        <v>0</v>
      </c>
      <c r="E94" s="108">
        <f t="shared" si="3"/>
        <v>0</v>
      </c>
      <c r="F94" s="182">
        <f t="shared" si="4"/>
        <v>0</v>
      </c>
      <c r="G94" s="209">
        <f t="shared" si="5"/>
        <v>0</v>
      </c>
      <c r="H94" s="210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5" thickBot="1" x14ac:dyDescent="0.25">
      <c r="A95" s="43"/>
      <c r="B95" s="100">
        <v>56</v>
      </c>
      <c r="C95" s="103">
        <f t="shared" ca="1" si="1"/>
        <v>47560</v>
      </c>
      <c r="D95" s="107">
        <f t="shared" si="6"/>
        <v>0</v>
      </c>
      <c r="E95" s="108">
        <f t="shared" si="3"/>
        <v>0</v>
      </c>
      <c r="F95" s="182">
        <f t="shared" si="4"/>
        <v>0</v>
      </c>
      <c r="G95" s="209">
        <f t="shared" si="5"/>
        <v>0</v>
      </c>
      <c r="H95" s="210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5" thickBot="1" x14ac:dyDescent="0.25">
      <c r="A96" s="43"/>
      <c r="B96" s="100">
        <v>57</v>
      </c>
      <c r="C96" s="103">
        <f t="shared" ca="1" si="1"/>
        <v>47591</v>
      </c>
      <c r="D96" s="107">
        <f t="shared" si="6"/>
        <v>0</v>
      </c>
      <c r="E96" s="108">
        <f t="shared" si="3"/>
        <v>0</v>
      </c>
      <c r="F96" s="182">
        <f t="shared" si="4"/>
        <v>0</v>
      </c>
      <c r="G96" s="209">
        <f t="shared" si="5"/>
        <v>0</v>
      </c>
      <c r="H96" s="210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5" thickBot="1" x14ac:dyDescent="0.25">
      <c r="A97" s="43"/>
      <c r="B97" s="100">
        <v>58</v>
      </c>
      <c r="C97" s="103">
        <f t="shared" ca="1" si="1"/>
        <v>47621</v>
      </c>
      <c r="D97" s="107">
        <f t="shared" si="6"/>
        <v>0</v>
      </c>
      <c r="E97" s="108">
        <f t="shared" si="3"/>
        <v>0</v>
      </c>
      <c r="F97" s="182">
        <f t="shared" si="4"/>
        <v>0</v>
      </c>
      <c r="G97" s="209">
        <f t="shared" si="5"/>
        <v>0</v>
      </c>
      <c r="H97" s="210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5" thickBot="1" x14ac:dyDescent="0.25">
      <c r="A98" s="43"/>
      <c r="B98" s="100">
        <v>59</v>
      </c>
      <c r="C98" s="103">
        <f t="shared" ca="1" si="1"/>
        <v>47652</v>
      </c>
      <c r="D98" s="107">
        <f t="shared" si="6"/>
        <v>0</v>
      </c>
      <c r="E98" s="108">
        <f t="shared" si="3"/>
        <v>0</v>
      </c>
      <c r="F98" s="182">
        <f t="shared" si="4"/>
        <v>0</v>
      </c>
      <c r="G98" s="209">
        <f t="shared" si="5"/>
        <v>0</v>
      </c>
      <c r="H98" s="210"/>
      <c r="I98" s="104"/>
      <c r="J98" s="104"/>
    </row>
    <row r="99" spans="1:19" s="4" customFormat="1" ht="13.5" thickBot="1" x14ac:dyDescent="0.25">
      <c r="A99" s="43"/>
      <c r="B99" s="100">
        <v>60</v>
      </c>
      <c r="C99" s="103">
        <f t="shared" ca="1" si="1"/>
        <v>47682</v>
      </c>
      <c r="D99" s="107">
        <f t="shared" si="6"/>
        <v>0</v>
      </c>
      <c r="E99" s="108">
        <f t="shared" si="3"/>
        <v>0</v>
      </c>
      <c r="F99" s="182">
        <f t="shared" si="4"/>
        <v>0</v>
      </c>
      <c r="G99" s="209">
        <f t="shared" si="5"/>
        <v>0</v>
      </c>
      <c r="H99" s="210"/>
      <c r="I99" s="104"/>
      <c r="J99" s="104"/>
    </row>
    <row r="100" spans="1:19" s="4" customFormat="1" ht="16.5" thickBot="1" x14ac:dyDescent="0.25">
      <c r="A100" s="43"/>
      <c r="B100" s="213" t="s">
        <v>1</v>
      </c>
      <c r="C100" s="214"/>
      <c r="D100" s="93">
        <f>SUM(D40:D99)</f>
        <v>71399.999999999985</v>
      </c>
      <c r="E100" s="93">
        <f>SUM(E40:E99)</f>
        <v>42754.32</v>
      </c>
      <c r="F100" s="99">
        <f>SUM(F40:F99)</f>
        <v>10.710000000000003</v>
      </c>
      <c r="G100" s="211">
        <f>SUM(G40:H99)</f>
        <v>114165.03000000004</v>
      </c>
      <c r="H100" s="212"/>
      <c r="I100" s="104"/>
      <c r="J100" s="104"/>
    </row>
    <row r="101" spans="1:19" s="4" customFormat="1" x14ac:dyDescent="0.2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">
      <c r="A102" s="43"/>
      <c r="B102" s="2"/>
      <c r="C102" s="21"/>
      <c r="D102" s="22"/>
      <c r="E102" s="207" t="s">
        <v>6</v>
      </c>
      <c r="F102" s="207"/>
      <c r="G102" s="207"/>
      <c r="H102" s="28"/>
      <c r="I102" s="104"/>
      <c r="J102" s="104"/>
    </row>
    <row r="103" spans="1:19" s="4" customFormat="1" x14ac:dyDescent="0.2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RMrQQo79cvnKunnZnDrvZaMHph72BxbMwQy49fu97nu8KchcxawnRD5Q+BABaBf3WanBSDz+XyXInh4tZy8+jQ==" saltValue="XYoAlDlhPGOI3c/CusrjIQ==" spinCount="100000" sheet="1" selectLockedCells="1"/>
  <dataConsolidate/>
  <mergeCells count="93"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  <mergeCell ref="G43:H43"/>
    <mergeCell ref="G44:H44"/>
    <mergeCell ref="G50:H50"/>
    <mergeCell ref="G48:H48"/>
    <mergeCell ref="G49:H49"/>
    <mergeCell ref="G45:H45"/>
    <mergeCell ref="G46:H46"/>
    <mergeCell ref="G47:H47"/>
    <mergeCell ref="G42:H42"/>
    <mergeCell ref="G40:H40"/>
    <mergeCell ref="G41:H41"/>
    <mergeCell ref="B33:C33"/>
    <mergeCell ref="B34:C34"/>
    <mergeCell ref="B37:H37"/>
    <mergeCell ref="B38:C38"/>
    <mergeCell ref="G38:H38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56:H56"/>
    <mergeCell ref="G51:H51"/>
    <mergeCell ref="G52:H52"/>
    <mergeCell ref="G53:H53"/>
    <mergeCell ref="G57:H57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</mergeCells>
  <dataValidations count="1">
    <dataValidation type="list" allowBlank="1" showInputMessage="1" showErrorMessage="1" sqref="H2:I2" xr:uid="{00000000-0002-0000-0000-000000000000}">
      <formula1>$L$7:$L$12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55"/>
  <sheetViews>
    <sheetView workbookViewId="0">
      <selection activeCell="D20" sqref="D20"/>
    </sheetView>
  </sheetViews>
  <sheetFormatPr defaultRowHeight="12.75" x14ac:dyDescent="0.2"/>
  <cols>
    <col min="3" max="3" width="18.85546875" customWidth="1"/>
    <col min="4" max="4" width="46.7109375" bestFit="1" customWidth="1"/>
    <col min="5" max="5" width="100.28515625" bestFit="1" customWidth="1"/>
    <col min="11" max="11" width="27.28515625" customWidth="1"/>
  </cols>
  <sheetData>
    <row r="2" spans="2:11" x14ac:dyDescent="0.2">
      <c r="D2" s="240" t="s">
        <v>60</v>
      </c>
      <c r="E2" s="240"/>
      <c r="F2" s="240"/>
      <c r="G2" s="240"/>
      <c r="H2" s="240"/>
      <c r="I2" s="240"/>
      <c r="J2" s="240"/>
      <c r="K2" s="240"/>
    </row>
    <row r="5" spans="2:11" ht="13.15" customHeight="1" x14ac:dyDescent="0.2">
      <c r="B5" s="230" t="s">
        <v>151</v>
      </c>
      <c r="C5" s="230"/>
      <c r="D5" s="179" t="s">
        <v>154</v>
      </c>
      <c r="E5" s="179" t="s">
        <v>49</v>
      </c>
    </row>
    <row r="6" spans="2:11" ht="13.15" customHeight="1" x14ac:dyDescent="0.2">
      <c r="B6" s="231" t="s">
        <v>155</v>
      </c>
      <c r="C6" s="232"/>
      <c r="D6" s="178" t="s">
        <v>61</v>
      </c>
      <c r="E6" s="178" t="s">
        <v>62</v>
      </c>
    </row>
    <row r="7" spans="2:11" x14ac:dyDescent="0.2">
      <c r="B7" s="233"/>
      <c r="C7" s="234"/>
      <c r="D7" s="178" t="s">
        <v>63</v>
      </c>
      <c r="E7" s="178" t="s">
        <v>64</v>
      </c>
    </row>
    <row r="8" spans="2:11" x14ac:dyDescent="0.2">
      <c r="B8" s="233"/>
      <c r="C8" s="234"/>
      <c r="D8" s="178" t="s">
        <v>65</v>
      </c>
      <c r="E8" s="178" t="s">
        <v>66</v>
      </c>
    </row>
    <row r="9" spans="2:11" x14ac:dyDescent="0.2">
      <c r="B9" s="233"/>
      <c r="C9" s="234"/>
      <c r="D9" s="178" t="s">
        <v>67</v>
      </c>
      <c r="E9" s="178" t="s">
        <v>68</v>
      </c>
    </row>
    <row r="10" spans="2:11" x14ac:dyDescent="0.2">
      <c r="B10" s="233"/>
      <c r="C10" s="234"/>
      <c r="D10" s="178" t="s">
        <v>69</v>
      </c>
      <c r="E10" s="178" t="s">
        <v>57</v>
      </c>
    </row>
    <row r="11" spans="2:11" x14ac:dyDescent="0.2">
      <c r="B11" s="233"/>
      <c r="C11" s="234"/>
      <c r="D11" s="178" t="s">
        <v>70</v>
      </c>
      <c r="E11" s="178" t="s">
        <v>71</v>
      </c>
    </row>
    <row r="12" spans="2:11" x14ac:dyDescent="0.2">
      <c r="B12" s="233"/>
      <c r="C12" s="234"/>
      <c r="D12" s="178" t="s">
        <v>72</v>
      </c>
      <c r="E12" s="178" t="s">
        <v>73</v>
      </c>
    </row>
    <row r="13" spans="2:11" x14ac:dyDescent="0.2">
      <c r="B13" s="233"/>
      <c r="C13" s="234"/>
      <c r="D13" s="178" t="s">
        <v>74</v>
      </c>
      <c r="E13" s="178" t="s">
        <v>75</v>
      </c>
    </row>
    <row r="14" spans="2:11" x14ac:dyDescent="0.2">
      <c r="B14" s="233"/>
      <c r="C14" s="234"/>
      <c r="D14" s="178" t="s">
        <v>76</v>
      </c>
      <c r="E14" s="178" t="s">
        <v>77</v>
      </c>
    </row>
    <row r="15" spans="2:11" x14ac:dyDescent="0.2">
      <c r="B15" s="233"/>
      <c r="C15" s="234"/>
      <c r="D15" s="178" t="s">
        <v>78</v>
      </c>
      <c r="E15" s="178" t="s">
        <v>79</v>
      </c>
    </row>
    <row r="16" spans="2:11" x14ac:dyDescent="0.2">
      <c r="B16" s="233"/>
      <c r="C16" s="234"/>
      <c r="D16" s="178" t="s">
        <v>80</v>
      </c>
      <c r="E16" s="178" t="s">
        <v>81</v>
      </c>
    </row>
    <row r="17" spans="2:5" x14ac:dyDescent="0.2">
      <c r="B17" s="233"/>
      <c r="C17" s="234"/>
      <c r="D17" s="178" t="s">
        <v>82</v>
      </c>
      <c r="E17" s="178" t="s">
        <v>83</v>
      </c>
    </row>
    <row r="18" spans="2:5" x14ac:dyDescent="0.2">
      <c r="B18" s="233"/>
      <c r="C18" s="234"/>
      <c r="D18" s="178" t="s">
        <v>84</v>
      </c>
      <c r="E18" s="178" t="s">
        <v>85</v>
      </c>
    </row>
    <row r="19" spans="2:5" x14ac:dyDescent="0.2">
      <c r="B19" s="233"/>
      <c r="C19" s="234"/>
      <c r="D19" s="178" t="s">
        <v>86</v>
      </c>
      <c r="E19" s="178" t="s">
        <v>87</v>
      </c>
    </row>
    <row r="20" spans="2:5" x14ac:dyDescent="0.2">
      <c r="B20" s="233"/>
      <c r="C20" s="234"/>
      <c r="D20" s="178" t="s">
        <v>88</v>
      </c>
      <c r="E20" s="178" t="s">
        <v>89</v>
      </c>
    </row>
    <row r="21" spans="2:5" x14ac:dyDescent="0.2">
      <c r="B21" s="233"/>
      <c r="C21" s="234"/>
      <c r="D21" s="178" t="s">
        <v>90</v>
      </c>
      <c r="E21" s="178" t="s">
        <v>91</v>
      </c>
    </row>
    <row r="22" spans="2:5" x14ac:dyDescent="0.2">
      <c r="B22" s="233"/>
      <c r="C22" s="234"/>
      <c r="D22" s="178" t="s">
        <v>92</v>
      </c>
      <c r="E22" s="178" t="s">
        <v>93</v>
      </c>
    </row>
    <row r="23" spans="2:5" x14ac:dyDescent="0.2">
      <c r="B23" s="233"/>
      <c r="C23" s="234"/>
      <c r="D23" s="178" t="s">
        <v>94</v>
      </c>
      <c r="E23" s="178" t="s">
        <v>95</v>
      </c>
    </row>
    <row r="24" spans="2:5" x14ac:dyDescent="0.2">
      <c r="B24" s="233"/>
      <c r="C24" s="234"/>
      <c r="D24" s="178" t="s">
        <v>96</v>
      </c>
      <c r="E24" s="178" t="s">
        <v>97</v>
      </c>
    </row>
    <row r="25" spans="2:5" x14ac:dyDescent="0.2">
      <c r="B25" s="233"/>
      <c r="C25" s="234"/>
      <c r="D25" s="178" t="s">
        <v>98</v>
      </c>
      <c r="E25" s="178" t="s">
        <v>99</v>
      </c>
    </row>
    <row r="26" spans="2:5" x14ac:dyDescent="0.2">
      <c r="B26" s="233"/>
      <c r="C26" s="234"/>
      <c r="D26" s="178" t="s">
        <v>100</v>
      </c>
      <c r="E26" s="178" t="s">
        <v>101</v>
      </c>
    </row>
    <row r="27" spans="2:5" x14ac:dyDescent="0.2">
      <c r="B27" s="233"/>
      <c r="C27" s="234"/>
      <c r="D27" s="178" t="s">
        <v>102</v>
      </c>
      <c r="E27" s="178" t="s">
        <v>103</v>
      </c>
    </row>
    <row r="28" spans="2:5" x14ac:dyDescent="0.2">
      <c r="B28" s="233"/>
      <c r="C28" s="234"/>
      <c r="D28" s="178" t="s">
        <v>104</v>
      </c>
      <c r="E28" s="178" t="s">
        <v>105</v>
      </c>
    </row>
    <row r="29" spans="2:5" x14ac:dyDescent="0.2">
      <c r="B29" s="233"/>
      <c r="C29" s="234"/>
      <c r="D29" s="178" t="s">
        <v>50</v>
      </c>
      <c r="E29" s="178" t="s">
        <v>51</v>
      </c>
    </row>
    <row r="30" spans="2:5" x14ac:dyDescent="0.2">
      <c r="B30" s="233"/>
      <c r="C30" s="234"/>
      <c r="D30" s="178" t="s">
        <v>106</v>
      </c>
      <c r="E30" s="178" t="s">
        <v>107</v>
      </c>
    </row>
    <row r="31" spans="2:5" x14ac:dyDescent="0.2">
      <c r="B31" s="233"/>
      <c r="C31" s="234"/>
      <c r="D31" s="178" t="s">
        <v>108</v>
      </c>
      <c r="E31" s="178" t="s">
        <v>109</v>
      </c>
    </row>
    <row r="32" spans="2:5" x14ac:dyDescent="0.2">
      <c r="B32" s="233"/>
      <c r="C32" s="234"/>
      <c r="D32" s="178" t="s">
        <v>110</v>
      </c>
      <c r="E32" s="178" t="s">
        <v>52</v>
      </c>
    </row>
    <row r="33" spans="2:5" x14ac:dyDescent="0.2">
      <c r="B33" s="233"/>
      <c r="C33" s="234"/>
      <c r="D33" s="178" t="s">
        <v>111</v>
      </c>
      <c r="E33" s="178" t="s">
        <v>112</v>
      </c>
    </row>
    <row r="34" spans="2:5" x14ac:dyDescent="0.2">
      <c r="B34" s="233"/>
      <c r="C34" s="234"/>
      <c r="D34" s="178" t="s">
        <v>113</v>
      </c>
      <c r="E34" s="178" t="s">
        <v>114</v>
      </c>
    </row>
    <row r="35" spans="2:5" x14ac:dyDescent="0.2">
      <c r="B35" s="233"/>
      <c r="C35" s="234"/>
      <c r="D35" s="178" t="s">
        <v>117</v>
      </c>
      <c r="E35" s="178" t="s">
        <v>118</v>
      </c>
    </row>
    <row r="36" spans="2:5" x14ac:dyDescent="0.2">
      <c r="B36" s="233"/>
      <c r="C36" s="234"/>
      <c r="D36" s="178" t="s">
        <v>119</v>
      </c>
      <c r="E36" s="178" t="s">
        <v>120</v>
      </c>
    </row>
    <row r="37" spans="2:5" x14ac:dyDescent="0.2">
      <c r="B37" s="233"/>
      <c r="C37" s="234"/>
      <c r="D37" s="178" t="s">
        <v>121</v>
      </c>
      <c r="E37" s="178" t="s">
        <v>122</v>
      </c>
    </row>
    <row r="38" spans="2:5" x14ac:dyDescent="0.2">
      <c r="B38" s="233"/>
      <c r="C38" s="234"/>
      <c r="D38" s="178" t="s">
        <v>123</v>
      </c>
      <c r="E38" s="178" t="s">
        <v>124</v>
      </c>
    </row>
    <row r="39" spans="2:5" x14ac:dyDescent="0.2">
      <c r="B39" s="233"/>
      <c r="C39" s="234"/>
      <c r="D39" s="178" t="s">
        <v>125</v>
      </c>
      <c r="E39" s="178" t="s">
        <v>126</v>
      </c>
    </row>
    <row r="40" spans="2:5" x14ac:dyDescent="0.2">
      <c r="B40" s="233"/>
      <c r="C40" s="234"/>
      <c r="D40" s="178" t="s">
        <v>53</v>
      </c>
      <c r="E40" s="178" t="s">
        <v>127</v>
      </c>
    </row>
    <row r="41" spans="2:5" x14ac:dyDescent="0.2">
      <c r="B41" s="233"/>
      <c r="C41" s="234"/>
      <c r="D41" s="178" t="s">
        <v>128</v>
      </c>
      <c r="E41" s="178" t="s">
        <v>129</v>
      </c>
    </row>
    <row r="42" spans="2:5" x14ac:dyDescent="0.2">
      <c r="B42" s="233"/>
      <c r="C42" s="234"/>
      <c r="D42" s="178" t="s">
        <v>130</v>
      </c>
      <c r="E42" s="178" t="s">
        <v>131</v>
      </c>
    </row>
    <row r="43" spans="2:5" x14ac:dyDescent="0.2">
      <c r="B43" s="233"/>
      <c r="C43" s="234"/>
      <c r="D43" s="178" t="s">
        <v>132</v>
      </c>
      <c r="E43" s="178" t="s">
        <v>133</v>
      </c>
    </row>
    <row r="44" spans="2:5" x14ac:dyDescent="0.2">
      <c r="B44" s="233"/>
      <c r="C44" s="234"/>
      <c r="D44" s="178" t="s">
        <v>134</v>
      </c>
      <c r="E44" s="178" t="s">
        <v>135</v>
      </c>
    </row>
    <row r="45" spans="2:5" x14ac:dyDescent="0.2">
      <c r="B45" s="233"/>
      <c r="C45" s="234"/>
      <c r="D45" s="178" t="s">
        <v>54</v>
      </c>
      <c r="E45" s="178" t="s">
        <v>55</v>
      </c>
    </row>
    <row r="46" spans="2:5" x14ac:dyDescent="0.2">
      <c r="B46" s="233"/>
      <c r="C46" s="234"/>
      <c r="D46" s="178" t="s">
        <v>136</v>
      </c>
      <c r="E46" s="178" t="s">
        <v>137</v>
      </c>
    </row>
    <row r="47" spans="2:5" x14ac:dyDescent="0.2">
      <c r="B47" s="233"/>
      <c r="C47" s="234"/>
      <c r="D47" s="178" t="s">
        <v>138</v>
      </c>
      <c r="E47" s="178" t="s">
        <v>56</v>
      </c>
    </row>
    <row r="48" spans="2:5" x14ac:dyDescent="0.2">
      <c r="B48" s="233"/>
      <c r="C48" s="234"/>
      <c r="D48" s="178" t="s">
        <v>139</v>
      </c>
      <c r="E48" s="178" t="s">
        <v>140</v>
      </c>
    </row>
    <row r="49" spans="2:5" x14ac:dyDescent="0.2">
      <c r="B49" s="233"/>
      <c r="C49" s="234"/>
      <c r="D49" s="178" t="s">
        <v>141</v>
      </c>
      <c r="E49" s="178" t="s">
        <v>142</v>
      </c>
    </row>
    <row r="50" spans="2:5" x14ac:dyDescent="0.2">
      <c r="B50" s="233"/>
      <c r="C50" s="234"/>
      <c r="D50" s="178" t="s">
        <v>145</v>
      </c>
      <c r="E50" s="178" t="s">
        <v>146</v>
      </c>
    </row>
    <row r="51" spans="2:5" x14ac:dyDescent="0.2">
      <c r="B51" s="233"/>
      <c r="C51" s="234"/>
      <c r="D51" s="178" t="s">
        <v>147</v>
      </c>
      <c r="E51" s="178" t="s">
        <v>148</v>
      </c>
    </row>
    <row r="52" spans="2:5" x14ac:dyDescent="0.2">
      <c r="B52" s="233"/>
      <c r="C52" s="234"/>
      <c r="D52" s="178" t="s">
        <v>149</v>
      </c>
      <c r="E52" s="178" t="s">
        <v>150</v>
      </c>
    </row>
    <row r="53" spans="2:5" ht="13.15" customHeight="1" x14ac:dyDescent="0.2">
      <c r="B53" s="235"/>
      <c r="C53" s="236"/>
      <c r="D53" s="178" t="s">
        <v>58</v>
      </c>
      <c r="E53" s="178" t="s">
        <v>59</v>
      </c>
    </row>
    <row r="54" spans="2:5" x14ac:dyDescent="0.2">
      <c r="B54" s="237" t="s">
        <v>152</v>
      </c>
      <c r="C54" s="238"/>
      <c r="D54" s="183" t="s">
        <v>115</v>
      </c>
      <c r="E54" s="183" t="s">
        <v>116</v>
      </c>
    </row>
    <row r="55" spans="2:5" x14ac:dyDescent="0.2">
      <c r="B55" s="239" t="s">
        <v>153</v>
      </c>
      <c r="C55" s="239"/>
      <c r="D55" s="178" t="s">
        <v>143</v>
      </c>
      <c r="E55" s="178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zoomScale="70" zoomScaleNormal="70" workbookViewId="0">
      <selection activeCell="A19" sqref="A19:B19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256" t="s">
        <v>16</v>
      </c>
      <c r="B1" s="257"/>
      <c r="C1" s="257"/>
      <c r="D1" s="258"/>
      <c r="E1" s="59">
        <v>5000</v>
      </c>
      <c r="F1" s="60" t="s">
        <v>12</v>
      </c>
      <c r="G1" s="60" t="s">
        <v>11</v>
      </c>
    </row>
    <row r="2" spans="1:8" x14ac:dyDescent="0.2">
      <c r="A2" s="61"/>
      <c r="B2" s="4"/>
      <c r="C2" s="61"/>
      <c r="D2" s="4"/>
      <c r="E2" s="62"/>
      <c r="F2" s="63"/>
      <c r="G2" s="34"/>
      <c r="H2" s="4"/>
    </row>
    <row r="3" spans="1:8" x14ac:dyDescent="0.2">
      <c r="A3" s="251" t="s">
        <v>44</v>
      </c>
      <c r="B3" s="252">
        <v>0</v>
      </c>
      <c r="C3" s="252">
        <v>0</v>
      </c>
      <c r="D3" s="253">
        <v>0</v>
      </c>
      <c r="E3" s="5"/>
      <c r="F3" s="6"/>
      <c r="G3" s="5"/>
    </row>
    <row r="4" spans="1:8" x14ac:dyDescent="0.2">
      <c r="A4" s="61"/>
      <c r="B4" s="4"/>
      <c r="C4" s="61"/>
      <c r="D4" s="4"/>
      <c r="E4" s="65"/>
      <c r="F4" s="63"/>
      <c r="G4" s="34"/>
      <c r="H4" s="4"/>
    </row>
    <row r="5" spans="1:8" x14ac:dyDescent="0.2">
      <c r="A5" s="251" t="s">
        <v>45</v>
      </c>
      <c r="B5" s="252">
        <v>0</v>
      </c>
      <c r="C5" s="252">
        <v>0</v>
      </c>
      <c r="D5" s="253">
        <v>0</v>
      </c>
      <c r="E5" s="5"/>
      <c r="F5" s="6"/>
      <c r="G5" s="6"/>
    </row>
    <row r="6" spans="1:8" x14ac:dyDescent="0.2">
      <c r="A6" s="61"/>
      <c r="B6" s="4"/>
      <c r="C6" s="61"/>
      <c r="D6" s="4"/>
      <c r="E6" s="66"/>
      <c r="F6" s="63"/>
      <c r="G6" s="34"/>
      <c r="H6" s="4"/>
    </row>
    <row r="7" spans="1:8" x14ac:dyDescent="0.2">
      <c r="A7" s="251" t="s">
        <v>46</v>
      </c>
      <c r="B7" s="252">
        <v>0</v>
      </c>
      <c r="C7" s="252">
        <v>0</v>
      </c>
      <c r="D7" s="253">
        <v>0</v>
      </c>
      <c r="E7" s="5"/>
      <c r="F7" s="6"/>
      <c r="G7" s="6"/>
    </row>
    <row r="8" spans="1:8" x14ac:dyDescent="0.2">
      <c r="A8" s="61"/>
      <c r="B8" s="4"/>
      <c r="C8" s="61"/>
      <c r="D8" s="4"/>
      <c r="E8" s="65"/>
      <c r="F8" s="63"/>
      <c r="G8" s="34"/>
      <c r="H8" s="4"/>
    </row>
    <row r="9" spans="1:8" x14ac:dyDescent="0.2">
      <c r="A9" s="251" t="s">
        <v>158</v>
      </c>
      <c r="B9" s="252"/>
      <c r="C9" s="252"/>
      <c r="D9" s="253"/>
      <c r="E9" s="67"/>
      <c r="F9" s="6"/>
      <c r="G9" s="6"/>
    </row>
    <row r="10" spans="1:8" x14ac:dyDescent="0.2">
      <c r="A10" s="68"/>
      <c r="B10" s="7"/>
      <c r="C10" s="68"/>
      <c r="D10" s="69"/>
      <c r="E10" s="38"/>
      <c r="F10" s="63"/>
      <c r="G10" s="70"/>
      <c r="H10" s="7"/>
    </row>
    <row r="11" spans="1:8" x14ac:dyDescent="0.2">
      <c r="A11" s="68"/>
      <c r="B11" s="7"/>
      <c r="C11" s="68"/>
      <c r="D11" s="71"/>
      <c r="E11" s="38"/>
      <c r="F11" s="63"/>
      <c r="G11" s="70"/>
      <c r="H11" s="7"/>
    </row>
    <row r="12" spans="1:8" x14ac:dyDescent="0.2">
      <c r="A12" s="251" t="s">
        <v>157</v>
      </c>
      <c r="B12" s="252">
        <v>0</v>
      </c>
      <c r="C12" s="252">
        <v>0</v>
      </c>
      <c r="D12" s="253">
        <v>0</v>
      </c>
      <c r="E12" s="8"/>
      <c r="F12" s="8"/>
      <c r="G12" s="9"/>
      <c r="H12" s="7"/>
    </row>
    <row r="13" spans="1:8" x14ac:dyDescent="0.2">
      <c r="A13" s="41"/>
      <c r="B13" s="41"/>
      <c r="C13" s="41"/>
      <c r="D13" s="41"/>
      <c r="E13" s="72"/>
      <c r="F13" s="73"/>
      <c r="G13" s="74"/>
      <c r="H13" s="7"/>
    </row>
    <row r="14" spans="1:8" x14ac:dyDescent="0.2">
      <c r="A14" s="251" t="s">
        <v>47</v>
      </c>
      <c r="B14" s="252">
        <v>0</v>
      </c>
      <c r="C14" s="252">
        <v>0</v>
      </c>
      <c r="D14" s="253">
        <v>0</v>
      </c>
      <c r="E14" s="57"/>
      <c r="F14" s="58"/>
      <c r="G14" s="9"/>
      <c r="H14" s="7"/>
    </row>
    <row r="15" spans="1:8" x14ac:dyDescent="0.2">
      <c r="A15" s="64"/>
      <c r="B15" s="64"/>
      <c r="C15" s="64"/>
      <c r="D15" s="64"/>
      <c r="E15" s="75"/>
      <c r="F15" s="73"/>
      <c r="G15" s="74"/>
      <c r="H15" s="7"/>
    </row>
    <row r="16" spans="1:8" x14ac:dyDescent="0.2">
      <c r="A16" s="251" t="s">
        <v>156</v>
      </c>
      <c r="B16" s="252">
        <v>0</v>
      </c>
      <c r="C16" s="252">
        <v>0</v>
      </c>
      <c r="D16" s="253">
        <v>0</v>
      </c>
      <c r="E16" s="13"/>
      <c r="F16" s="6"/>
      <c r="G16" s="6"/>
      <c r="H16" s="7"/>
    </row>
    <row r="17" spans="1:8" x14ac:dyDescent="0.2">
      <c r="A17" s="41"/>
      <c r="B17" s="41"/>
      <c r="C17" s="41"/>
      <c r="D17" s="41"/>
      <c r="E17" s="65"/>
      <c r="F17" s="73"/>
      <c r="G17" s="74"/>
      <c r="H17" s="7"/>
    </row>
    <row r="18" spans="1:8" x14ac:dyDescent="0.2">
      <c r="A18" s="41" t="s">
        <v>159</v>
      </c>
      <c r="B18" s="41"/>
      <c r="C18" s="41"/>
      <c r="D18" s="41"/>
      <c r="E18" s="65"/>
      <c r="F18" s="73"/>
      <c r="G18" s="74"/>
      <c r="H18" s="7"/>
    </row>
    <row r="19" spans="1:8" ht="33.75" x14ac:dyDescent="0.2">
      <c r="A19" s="254" t="s">
        <v>8</v>
      </c>
      <c r="B19" s="255"/>
      <c r="C19" s="76" t="s">
        <v>0</v>
      </c>
      <c r="D19" s="77" t="s">
        <v>29</v>
      </c>
      <c r="E19" s="78" t="s">
        <v>14</v>
      </c>
      <c r="F19" s="78" t="s">
        <v>13</v>
      </c>
      <c r="G19" s="78" t="s">
        <v>15</v>
      </c>
      <c r="H19" s="78" t="s">
        <v>28</v>
      </c>
    </row>
    <row r="20" spans="1:8" x14ac:dyDescent="0.2">
      <c r="A20" s="241" t="s">
        <v>20</v>
      </c>
      <c r="B20" s="242"/>
      <c r="C20" s="30">
        <f>IF(ISERROR(L16),"",L16)</f>
        <v>0</v>
      </c>
      <c r="D20" s="30">
        <f>IF(ISERROR(L12),"",L12)</f>
        <v>0</v>
      </c>
      <c r="E20" s="55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">
      <c r="A21" s="241" t="s">
        <v>9</v>
      </c>
      <c r="B21" s="242"/>
      <c r="C21" s="31">
        <f>IF(ISERROR(M16),"",M16)</f>
        <v>0</v>
      </c>
      <c r="D21" s="31">
        <f>IF(ISERROR(M12),"",M12)</f>
        <v>0</v>
      </c>
      <c r="E21" s="56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">
      <c r="A22" s="241" t="s">
        <v>18</v>
      </c>
      <c r="B22" s="242"/>
      <c r="C22" s="31">
        <f>IF(ISERROR(N16),"",N16)</f>
        <v>0</v>
      </c>
      <c r="D22" s="31">
        <f>IF(ISERROR(N12),"",N12)</f>
        <v>0</v>
      </c>
      <c r="E22" s="56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">
      <c r="A23" s="241" t="s">
        <v>19</v>
      </c>
      <c r="B23" s="242"/>
      <c r="C23" s="31">
        <f>IF(ISERROR(O16),"",O16)</f>
        <v>0</v>
      </c>
      <c r="D23" s="31">
        <f>IF(ISERROR(O12),"",O12)</f>
        <v>0</v>
      </c>
      <c r="E23" s="56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">
      <c r="A24" s="61"/>
      <c r="B24" s="41"/>
      <c r="C24" s="61"/>
      <c r="D24" s="79"/>
      <c r="E24" s="4"/>
      <c r="F24" s="34"/>
      <c r="G24" s="63"/>
      <c r="H24" s="4"/>
    </row>
    <row r="25" spans="1:8" ht="13.5" thickBot="1" x14ac:dyDescent="0.25">
      <c r="A25" s="80"/>
      <c r="B25" s="41"/>
      <c r="C25" s="80"/>
      <c r="D25" s="81"/>
      <c r="E25" s="82"/>
      <c r="F25" s="74"/>
      <c r="G25" s="73"/>
      <c r="H25" s="7"/>
    </row>
    <row r="26" spans="1:8" ht="18.75" thickBot="1" x14ac:dyDescent="0.25">
      <c r="A26" s="244" t="s">
        <v>30</v>
      </c>
      <c r="B26" s="245"/>
      <c r="C26" s="245"/>
      <c r="D26" s="245"/>
      <c r="E26" s="245"/>
      <c r="F26" s="245"/>
      <c r="G26" s="246"/>
    </row>
    <row r="27" spans="1:8" ht="45.75" thickBot="1" x14ac:dyDescent="0.25">
      <c r="A27" s="247" t="s">
        <v>2</v>
      </c>
      <c r="B27" s="248"/>
      <c r="C27" s="83" t="s">
        <v>4</v>
      </c>
      <c r="D27" s="83" t="s">
        <v>17</v>
      </c>
      <c r="E27" s="83" t="s">
        <v>5</v>
      </c>
      <c r="F27" s="249" t="s">
        <v>3</v>
      </c>
      <c r="G27" s="250"/>
    </row>
    <row r="28" spans="1:8" x14ac:dyDescent="0.2">
      <c r="A28" s="4"/>
      <c r="B28" s="4"/>
      <c r="C28" s="4"/>
      <c r="D28" s="4"/>
      <c r="E28" s="4"/>
      <c r="F28" s="34"/>
      <c r="G28" s="63"/>
    </row>
    <row r="29" spans="1:8" x14ac:dyDescent="0.2">
      <c r="A29" s="4" t="s">
        <v>6</v>
      </c>
      <c r="B29" s="84"/>
      <c r="C29" s="85"/>
      <c r="D29" s="243"/>
      <c r="E29" s="243"/>
      <c r="F29" s="243"/>
      <c r="G29" s="63"/>
    </row>
    <row r="30" spans="1:8" x14ac:dyDescent="0.2">
      <c r="A30" s="4" t="s">
        <v>7</v>
      </c>
      <c r="B30" s="86"/>
      <c r="C30" s="4"/>
      <c r="D30" s="26"/>
      <c r="E30" s="27"/>
      <c r="F30" s="87"/>
      <c r="G30" s="63"/>
    </row>
    <row r="32" spans="1:8" x14ac:dyDescent="0.2">
      <c r="A32" t="s">
        <v>31</v>
      </c>
      <c r="B32">
        <v>30.4</v>
      </c>
    </row>
  </sheetData>
  <sheetProtection selectLockedCells="1"/>
  <mergeCells count="17">
    <mergeCell ref="A12:D12"/>
    <mergeCell ref="A14:D14"/>
    <mergeCell ref="A16:D16"/>
    <mergeCell ref="A19:B19"/>
    <mergeCell ref="A1:D1"/>
    <mergeCell ref="A3:D3"/>
    <mergeCell ref="A5:D5"/>
    <mergeCell ref="A7:D7"/>
    <mergeCell ref="A9:D9"/>
    <mergeCell ref="A20:B20"/>
    <mergeCell ref="A21:B21"/>
    <mergeCell ref="D29:F29"/>
    <mergeCell ref="A23:B23"/>
    <mergeCell ref="A26:G26"/>
    <mergeCell ref="A27:B27"/>
    <mergeCell ref="F27:G27"/>
    <mergeCell ref="A22:B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9"/>
  <sheetViews>
    <sheetView zoomScale="85" zoomScaleNormal="85" workbookViewId="0">
      <selection activeCell="G19" sqref="G19"/>
    </sheetView>
  </sheetViews>
  <sheetFormatPr defaultColWidth="9.140625" defaultRowHeight="12.75" x14ac:dyDescent="0.2"/>
  <cols>
    <col min="1" max="1" width="31" style="116" customWidth="1"/>
    <col min="2" max="2" width="11.42578125" style="116" customWidth="1"/>
    <col min="3" max="4" width="9.140625" style="116"/>
    <col min="5" max="5" width="17.28515625" style="116" customWidth="1"/>
    <col min="6" max="6" width="16.85546875" style="116" customWidth="1"/>
    <col min="7" max="7" width="22.28515625" style="116" customWidth="1"/>
    <col min="8" max="8" width="17.5703125" style="116" customWidth="1"/>
    <col min="9" max="9" width="9.140625" style="116" customWidth="1"/>
    <col min="10" max="10" width="15.5703125" style="116" bestFit="1" customWidth="1"/>
    <col min="11" max="11" width="9.140625" style="116" customWidth="1"/>
    <col min="12" max="15" width="17.5703125" style="116" customWidth="1"/>
    <col min="16" max="16384" width="9.140625" style="116"/>
  </cols>
  <sheetData>
    <row r="1" spans="1:16" x14ac:dyDescent="0.2">
      <c r="B1" s="116" t="s">
        <v>21</v>
      </c>
      <c r="C1" s="116" t="s">
        <v>22</v>
      </c>
      <c r="D1" s="116" t="s">
        <v>23</v>
      </c>
      <c r="E1" s="116" t="s">
        <v>24</v>
      </c>
      <c r="F1" s="116" t="s">
        <v>25</v>
      </c>
      <c r="I1" s="116" t="s">
        <v>36</v>
      </c>
      <c r="J1" s="116" t="s">
        <v>37</v>
      </c>
      <c r="K1" s="116" t="s">
        <v>37</v>
      </c>
      <c r="L1" s="116" t="s">
        <v>0</v>
      </c>
      <c r="N1" s="116" t="s">
        <v>34</v>
      </c>
      <c r="O1" s="116" t="s">
        <v>35</v>
      </c>
    </row>
    <row r="2" spans="1:16" x14ac:dyDescent="0.2">
      <c r="D2" s="117"/>
      <c r="E2" s="117"/>
      <c r="F2" s="117"/>
      <c r="H2" s="116" t="s">
        <v>27</v>
      </c>
      <c r="I2" s="116" t="s">
        <v>26</v>
      </c>
      <c r="J2" s="116" t="s">
        <v>38</v>
      </c>
      <c r="K2" s="116" t="s">
        <v>10</v>
      </c>
      <c r="L2" s="118"/>
      <c r="M2" s="118"/>
      <c r="N2" s="118"/>
      <c r="O2" s="118"/>
    </row>
    <row r="3" spans="1:16" x14ac:dyDescent="0.2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  <c r="J3" s="116">
        <v>10</v>
      </c>
      <c r="L3" s="116">
        <v>11</v>
      </c>
      <c r="N3" s="116">
        <v>12</v>
      </c>
      <c r="O3" s="116">
        <v>13</v>
      </c>
      <c r="P3" s="116">
        <v>14</v>
      </c>
    </row>
    <row r="4" spans="1:16" s="151" customFormat="1" x14ac:dyDescent="0.2">
      <c r="A4" s="151" t="s">
        <v>162</v>
      </c>
      <c r="B4" s="121">
        <v>73891.63</v>
      </c>
      <c r="C4" s="151">
        <v>12</v>
      </c>
      <c r="D4" s="152">
        <v>1E-4</v>
      </c>
      <c r="E4" s="152">
        <v>0</v>
      </c>
      <c r="F4" s="152">
        <v>4.99E-2</v>
      </c>
      <c r="G4" s="151" t="str">
        <f t="shared" ref="G4:G9" si="0">I$2&amp;" "&amp;B4&amp;" "&amp;H$2</f>
        <v>max. 73891,63 грн.</v>
      </c>
      <c r="H4" s="184">
        <f>B4+B4*K4</f>
        <v>75000.004450000008</v>
      </c>
      <c r="I4" s="151">
        <v>3</v>
      </c>
      <c r="K4" s="185">
        <v>1.4999999999999999E-2</v>
      </c>
      <c r="L4" s="153">
        <f t="shared" ref="L4" si="1">D4/12/(1-1/POWER(1+D4/12,C4))*H4+H4*F4</f>
        <v>9992.8391397154937</v>
      </c>
      <c r="M4" s="154">
        <f t="shared" ref="M4:M9" si="2">F4</f>
        <v>4.99E-2</v>
      </c>
      <c r="N4" s="154"/>
      <c r="O4" s="155">
        <v>0</v>
      </c>
      <c r="P4" s="151">
        <v>1000</v>
      </c>
    </row>
    <row r="5" spans="1:16" s="151" customFormat="1" x14ac:dyDescent="0.2">
      <c r="A5" s="151" t="s">
        <v>160</v>
      </c>
      <c r="B5" s="121">
        <v>98039.22</v>
      </c>
      <c r="C5" s="151">
        <v>18</v>
      </c>
      <c r="D5" s="152">
        <v>1E-4</v>
      </c>
      <c r="E5" s="152">
        <v>0</v>
      </c>
      <c r="F5" s="152">
        <v>4.99E-2</v>
      </c>
      <c r="G5" s="151" t="str">
        <f t="shared" si="0"/>
        <v>max. 98039,22 грн.</v>
      </c>
      <c r="H5" s="184">
        <f t="shared" ref="H5:H6" si="3">B5+B5*K5</f>
        <v>100000.00440000001</v>
      </c>
      <c r="I5" s="151">
        <v>6</v>
      </c>
      <c r="K5" s="185">
        <v>0.02</v>
      </c>
      <c r="L5" s="153">
        <f t="shared" ref="L5:L6" si="4">D5/12/(1-1/POWER(1+D5/12,C5))*H5+H5*F5</f>
        <v>10545.995844749805</v>
      </c>
      <c r="M5" s="154">
        <f t="shared" si="2"/>
        <v>4.99E-2</v>
      </c>
      <c r="N5" s="154"/>
      <c r="O5" s="155">
        <v>0</v>
      </c>
      <c r="P5" s="151">
        <v>1000</v>
      </c>
    </row>
    <row r="6" spans="1:16" x14ac:dyDescent="0.2">
      <c r="A6" s="151" t="s">
        <v>161</v>
      </c>
      <c r="B6" s="121">
        <v>73529.41</v>
      </c>
      <c r="C6" s="151">
        <v>24</v>
      </c>
      <c r="D6" s="152">
        <v>1E-4</v>
      </c>
      <c r="E6" s="152">
        <v>0</v>
      </c>
      <c r="F6" s="152">
        <v>4.99E-2</v>
      </c>
      <c r="G6" s="151" t="str">
        <f t="shared" si="0"/>
        <v>max. 73529,41 грн.</v>
      </c>
      <c r="H6" s="184">
        <f t="shared" si="3"/>
        <v>74999.998200000002</v>
      </c>
      <c r="I6" s="151">
        <v>9</v>
      </c>
      <c r="J6" s="151"/>
      <c r="K6" s="185">
        <v>0.02</v>
      </c>
      <c r="L6" s="153">
        <f t="shared" si="4"/>
        <v>6867.8253663875093</v>
      </c>
      <c r="M6" s="154">
        <f t="shared" si="2"/>
        <v>4.99E-2</v>
      </c>
      <c r="N6" s="154"/>
      <c r="O6" s="155">
        <v>0</v>
      </c>
      <c r="P6" s="151">
        <v>1000</v>
      </c>
    </row>
    <row r="7" spans="1:16" x14ac:dyDescent="0.2">
      <c r="A7" s="151" t="s">
        <v>163</v>
      </c>
      <c r="B7" s="121">
        <v>194174.76</v>
      </c>
      <c r="C7" s="151">
        <v>12</v>
      </c>
      <c r="D7" s="152">
        <v>1E-4</v>
      </c>
      <c r="E7" s="152">
        <v>0</v>
      </c>
      <c r="F7" s="152">
        <v>2.5000000000000001E-2</v>
      </c>
      <c r="G7" s="151" t="str">
        <f t="shared" si="0"/>
        <v>max. 194174,76 грн.</v>
      </c>
      <c r="H7" s="184">
        <f t="shared" ref="H7" si="5">B7+B7*K7</f>
        <v>200000.00280000002</v>
      </c>
      <c r="I7" s="151">
        <v>0</v>
      </c>
      <c r="J7" s="151"/>
      <c r="K7" s="185">
        <v>0.03</v>
      </c>
      <c r="L7" s="153">
        <f t="shared" ref="L7" si="6">D7/12/(1-1/POWER(1+D7/12,C7))*H7+H7*F7</f>
        <v>21667.569761498169</v>
      </c>
      <c r="M7" s="154">
        <f t="shared" si="2"/>
        <v>2.5000000000000001E-2</v>
      </c>
      <c r="N7" s="154"/>
      <c r="O7" s="155">
        <v>0</v>
      </c>
      <c r="P7" s="151">
        <v>1000</v>
      </c>
    </row>
    <row r="8" spans="1:16" x14ac:dyDescent="0.2">
      <c r="A8" s="151" t="s">
        <v>164</v>
      </c>
      <c r="B8" s="121">
        <v>194174.76</v>
      </c>
      <c r="C8" s="151">
        <v>24</v>
      </c>
      <c r="D8" s="152">
        <v>1E-4</v>
      </c>
      <c r="E8" s="152">
        <v>0</v>
      </c>
      <c r="F8" s="152">
        <v>2.5000000000000001E-2</v>
      </c>
      <c r="G8" s="151" t="str">
        <f t="shared" si="0"/>
        <v>max. 194174,76 грн.</v>
      </c>
      <c r="H8" s="184">
        <f t="shared" ref="H8:H9" si="7">B8+B8*K8</f>
        <v>200000.00280000002</v>
      </c>
      <c r="I8" s="151">
        <v>0</v>
      </c>
      <c r="J8" s="151"/>
      <c r="K8" s="185">
        <v>0.03</v>
      </c>
      <c r="L8" s="153">
        <f t="shared" ref="L8:L9" si="8">D8/12/(1-1/POWER(1+D8/12,C8))*H8+H8*F8</f>
        <v>13334.201603253012</v>
      </c>
      <c r="M8" s="154">
        <f t="shared" si="2"/>
        <v>2.5000000000000001E-2</v>
      </c>
      <c r="N8" s="154"/>
      <c r="O8" s="155">
        <v>0</v>
      </c>
      <c r="P8" s="151">
        <v>1000</v>
      </c>
    </row>
    <row r="9" spans="1:16" x14ac:dyDescent="0.2">
      <c r="A9" s="151" t="s">
        <v>165</v>
      </c>
      <c r="B9" s="121">
        <v>194174.76</v>
      </c>
      <c r="C9" s="151">
        <v>36</v>
      </c>
      <c r="D9" s="152">
        <v>1E-4</v>
      </c>
      <c r="E9" s="152">
        <v>0</v>
      </c>
      <c r="F9" s="152">
        <v>2.5000000000000001E-2</v>
      </c>
      <c r="G9" s="151" t="str">
        <f t="shared" si="0"/>
        <v>max. 194174,76 грн.</v>
      </c>
      <c r="H9" s="184">
        <f t="shared" si="7"/>
        <v>200000.00280000002</v>
      </c>
      <c r="I9" s="151">
        <v>0</v>
      </c>
      <c r="J9" s="151"/>
      <c r="K9" s="185">
        <v>0.03</v>
      </c>
      <c r="L9" s="153">
        <f t="shared" si="8"/>
        <v>10556.412226432029</v>
      </c>
      <c r="M9" s="154">
        <f t="shared" si="2"/>
        <v>2.5000000000000001E-2</v>
      </c>
      <c r="N9" s="154"/>
      <c r="O9" s="155">
        <v>0</v>
      </c>
      <c r="P9" s="151">
        <v>1000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NST Ідея_ТзОВ Скайфол</vt:lpstr>
      <vt:lpstr>Перелік партнерів</vt:lpstr>
      <vt:lpstr>Назви</vt:lpstr>
      <vt:lpstr>Лист2</vt:lpstr>
      <vt:lpstr>'NST Ідея_ТзОВ Скайфол'!Область_друку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2013-06-13T14:54:01Z</cp:lastPrinted>
  <dcterms:created xsi:type="dcterms:W3CDTF">2008-03-13T06:51:50Z</dcterms:created>
  <dcterms:modified xsi:type="dcterms:W3CDTF">2025-07-18T06:05:28Z</dcterms:modified>
</cp:coreProperties>
</file>