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YuDoliuk\Desktop\Істотні+калькулятор\NST\"/>
    </mc:Choice>
  </mc:AlternateContent>
  <xr:revisionPtr revIDLastSave="0" documentId="13_ncr:1_{939F5BBF-A78E-48AB-AFE2-D9E344A9BCD4}" xr6:coauthVersionLast="47" xr6:coauthVersionMax="47" xr10:uidLastSave="{00000000-0000-0000-0000-000000000000}"/>
  <workbookProtection workbookAlgorithmName="SHA-512" workbookHashValue="4/1tp8kCzKsfYEShpURp3AB1+z6jKdMd2Ojj9Sto33byOivtS2SZiNpfL1IvdQGHES9Xbq1lOGslGD04pLQg7w==" workbookSaltValue="u210yvIxdH7H5eyhEoy5iA==" workbookSpinCount="100000" lockStructure="1"/>
  <bookViews>
    <workbookView xWindow="-120" yWindow="-120" windowWidth="29040" windowHeight="15990" tabRatio="863" xr2:uid="{00000000-000D-0000-FFFF-FFFF00000000}"/>
  </bookViews>
  <sheets>
    <sheet name="NST Ідея_0-9-24" sheetId="164" r:id="rId1"/>
    <sheet name="Перелік партнерів" sheetId="172" state="hidden" r:id="rId2"/>
    <sheet name="Назви" sheetId="161" state="hidden" r:id="rId3"/>
    <sheet name="Лист2" sheetId="165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164" l="1"/>
  <c r="L8" i="164"/>
  <c r="L9" i="164"/>
  <c r="L10" i="164"/>
  <c r="L11" i="164"/>
  <c r="L12" i="164"/>
  <c r="L13" i="164"/>
  <c r="L14" i="164"/>
  <c r="L15" i="164"/>
  <c r="L16" i="164"/>
  <c r="L17" i="164"/>
  <c r="C39" i="164"/>
  <c r="F2" i="164" l="1"/>
  <c r="H4" i="165"/>
  <c r="E2" i="164"/>
  <c r="G2" i="164"/>
  <c r="G3" i="164"/>
  <c r="G39" i="164" l="1"/>
  <c r="G4" i="165" l="1"/>
  <c r="B28" i="164" l="1"/>
  <c r="B26" i="164"/>
  <c r="B24" i="164"/>
  <c r="B11" i="164"/>
  <c r="F17" i="164" l="1"/>
  <c r="M4" i="165"/>
  <c r="F21" i="164" l="1"/>
  <c r="F13" i="164"/>
  <c r="F15" i="164"/>
  <c r="L4" i="165"/>
  <c r="C20" i="161"/>
  <c r="H20" i="161" s="1"/>
  <c r="D20" i="161"/>
  <c r="G20" i="161" s="1"/>
  <c r="E20" i="161"/>
  <c r="C21" i="161"/>
  <c r="H21" i="161" s="1"/>
  <c r="D21" i="161"/>
  <c r="F21" i="161" s="1"/>
  <c r="E21" i="161"/>
  <c r="C22" i="161"/>
  <c r="H22" i="161" s="1"/>
  <c r="D22" i="161"/>
  <c r="G22" i="161" s="1"/>
  <c r="E22" i="161"/>
  <c r="C23" i="161"/>
  <c r="H23" i="161" s="1"/>
  <c r="D23" i="161"/>
  <c r="G23" i="161" s="1"/>
  <c r="E23" i="161"/>
  <c r="B9" i="164"/>
  <c r="C9" i="164"/>
  <c r="D9" i="164"/>
  <c r="E9" i="164"/>
  <c r="F9" i="164"/>
  <c r="C11" i="164"/>
  <c r="D11" i="164"/>
  <c r="E11" i="164"/>
  <c r="F11" i="164"/>
  <c r="B19" i="164"/>
  <c r="C19" i="164"/>
  <c r="D19" i="164"/>
  <c r="E19" i="164"/>
  <c r="F19" i="164"/>
  <c r="B21" i="164"/>
  <c r="C21" i="164"/>
  <c r="D21" i="164"/>
  <c r="E21" i="164"/>
  <c r="C26" i="164"/>
  <c r="D26" i="164"/>
  <c r="E26" i="164"/>
  <c r="C28" i="164"/>
  <c r="D28" i="164"/>
  <c r="E28" i="164"/>
  <c r="B30" i="164"/>
  <c r="C30" i="164"/>
  <c r="D30" i="164"/>
  <c r="E30" i="164"/>
  <c r="F30" i="164"/>
  <c r="G30" i="164"/>
  <c r="H30" i="164"/>
  <c r="I30" i="164"/>
  <c r="A31" i="164"/>
  <c r="A32" i="164"/>
  <c r="A33" i="164"/>
  <c r="A34" i="164"/>
  <c r="B37" i="164"/>
  <c r="B38" i="164"/>
  <c r="D38" i="164"/>
  <c r="E38" i="164"/>
  <c r="G38" i="164"/>
  <c r="F20" i="161"/>
  <c r="F22" i="161" l="1"/>
  <c r="C40" i="164"/>
  <c r="C41" i="164" s="1"/>
  <c r="C42" i="164" s="1"/>
  <c r="C43" i="164" s="1"/>
  <c r="C44" i="164" s="1"/>
  <c r="C45" i="164" s="1"/>
  <c r="C46" i="164" s="1"/>
  <c r="C47" i="164" s="1"/>
  <c r="C48" i="164" s="1"/>
  <c r="C49" i="164" s="1"/>
  <c r="C50" i="164" s="1"/>
  <c r="C51" i="164" s="1"/>
  <c r="C52" i="164" s="1"/>
  <c r="C53" i="164" s="1"/>
  <c r="C54" i="164" s="1"/>
  <c r="C55" i="164" s="1"/>
  <c r="C56" i="164" s="1"/>
  <c r="C57" i="164" s="1"/>
  <c r="C58" i="164" s="1"/>
  <c r="C59" i="164" s="1"/>
  <c r="C60" i="164" s="1"/>
  <c r="C61" i="164" s="1"/>
  <c r="C62" i="164" s="1"/>
  <c r="C63" i="164" s="1"/>
  <c r="C64" i="164" s="1"/>
  <c r="C65" i="164" s="1"/>
  <c r="C66" i="164" s="1"/>
  <c r="C67" i="164" s="1"/>
  <c r="C68" i="164" s="1"/>
  <c r="C69" i="164" s="1"/>
  <c r="C70" i="164" s="1"/>
  <c r="C71" i="164" s="1"/>
  <c r="C72" i="164" s="1"/>
  <c r="C73" i="164" s="1"/>
  <c r="C74" i="164" s="1"/>
  <c r="C75" i="164" s="1"/>
  <c r="C76" i="164" s="1"/>
  <c r="C77" i="164" s="1"/>
  <c r="C78" i="164" s="1"/>
  <c r="C79" i="164" s="1"/>
  <c r="C80" i="164" s="1"/>
  <c r="C81" i="164" s="1"/>
  <c r="C82" i="164" s="1"/>
  <c r="C83" i="164" s="1"/>
  <c r="C84" i="164" s="1"/>
  <c r="C85" i="164" s="1"/>
  <c r="C86" i="164" s="1"/>
  <c r="C87" i="164" s="1"/>
  <c r="C88" i="164" s="1"/>
  <c r="C89" i="164" s="1"/>
  <c r="C90" i="164" s="1"/>
  <c r="C91" i="164" s="1"/>
  <c r="C92" i="164" s="1"/>
  <c r="C93" i="164" s="1"/>
  <c r="C94" i="164" s="1"/>
  <c r="C95" i="164" s="1"/>
  <c r="C96" i="164" s="1"/>
  <c r="C97" i="164" s="1"/>
  <c r="C98" i="164" s="1"/>
  <c r="C99" i="164" s="1"/>
  <c r="F62" i="164"/>
  <c r="D88" i="164"/>
  <c r="D90" i="164"/>
  <c r="D92" i="164"/>
  <c r="D94" i="164"/>
  <c r="D96" i="164"/>
  <c r="D98" i="164"/>
  <c r="D89" i="164"/>
  <c r="D91" i="164"/>
  <c r="D93" i="164"/>
  <c r="D95" i="164"/>
  <c r="D97" i="164"/>
  <c r="D99" i="164"/>
  <c r="E22" i="164"/>
  <c r="F7" i="164"/>
  <c r="E71" i="164" s="1"/>
  <c r="F73" i="164"/>
  <c r="F67" i="164"/>
  <c r="E78" i="164"/>
  <c r="F92" i="164"/>
  <c r="F52" i="164"/>
  <c r="F60" i="164"/>
  <c r="E97" i="164"/>
  <c r="F99" i="164"/>
  <c r="F69" i="164"/>
  <c r="F50" i="164"/>
  <c r="E94" i="164"/>
  <c r="F83" i="164"/>
  <c r="F76" i="164"/>
  <c r="E80" i="164"/>
  <c r="F48" i="164"/>
  <c r="F53" i="164"/>
  <c r="F51" i="164"/>
  <c r="F61" i="164"/>
  <c r="E85" i="164"/>
  <c r="F75" i="164"/>
  <c r="F91" i="164"/>
  <c r="F68" i="164"/>
  <c r="F84" i="164"/>
  <c r="F94" i="164"/>
  <c r="F96" i="164"/>
  <c r="F46" i="164"/>
  <c r="F23" i="161"/>
  <c r="G21" i="161"/>
  <c r="F97" i="164"/>
  <c r="F58" i="164"/>
  <c r="F45" i="164"/>
  <c r="F42" i="164"/>
  <c r="F43" i="164"/>
  <c r="F44" i="164"/>
  <c r="F40" i="164"/>
  <c r="E90" i="164"/>
  <c r="E98" i="164"/>
  <c r="E91" i="164"/>
  <c r="E81" i="164"/>
  <c r="E99" i="164"/>
  <c r="F71" i="164"/>
  <c r="F79" i="164"/>
  <c r="F87" i="164"/>
  <c r="F95" i="164"/>
  <c r="F64" i="164"/>
  <c r="F72" i="164"/>
  <c r="F80" i="164"/>
  <c r="F88" i="164"/>
  <c r="E96" i="164"/>
  <c r="E79" i="164"/>
  <c r="F85" i="164"/>
  <c r="F78" i="164"/>
  <c r="F47" i="164"/>
  <c r="F49" i="164"/>
  <c r="F59" i="164"/>
  <c r="F70" i="164"/>
  <c r="E83" i="164"/>
  <c r="F90" i="164"/>
  <c r="F77" i="164"/>
  <c r="E88" i="164"/>
  <c r="E95" i="164"/>
  <c r="F82" i="164"/>
  <c r="F89" i="164"/>
  <c r="F65" i="164"/>
  <c r="E76" i="164"/>
  <c r="F56" i="164"/>
  <c r="F55" i="164"/>
  <c r="F54" i="164"/>
  <c r="F57" i="164"/>
  <c r="F41" i="164"/>
  <c r="F63" i="164"/>
  <c r="F98" i="164"/>
  <c r="F86" i="164"/>
  <c r="F74" i="164"/>
  <c r="F66" i="164"/>
  <c r="F93" i="164"/>
  <c r="F81" i="164"/>
  <c r="E93" i="164"/>
  <c r="E89" i="164"/>
  <c r="E92" i="164"/>
  <c r="E84" i="164"/>
  <c r="E75" i="164" l="1"/>
  <c r="E64" i="164"/>
  <c r="E66" i="164"/>
  <c r="D59" i="164"/>
  <c r="E3" i="164"/>
  <c r="F3" i="164" s="1"/>
  <c r="E44" i="164"/>
  <c r="E82" i="164"/>
  <c r="E87" i="164"/>
  <c r="E86" i="164"/>
  <c r="E77" i="164"/>
  <c r="D87" i="164"/>
  <c r="D83" i="164"/>
  <c r="G83" i="164" s="1"/>
  <c r="D79" i="164"/>
  <c r="G79" i="164" s="1"/>
  <c r="D75" i="164"/>
  <c r="D71" i="164"/>
  <c r="G71" i="164" s="1"/>
  <c r="D67" i="164"/>
  <c r="D84" i="164"/>
  <c r="G84" i="164" s="1"/>
  <c r="D80" i="164"/>
  <c r="G80" i="164" s="1"/>
  <c r="D76" i="164"/>
  <c r="G76" i="164" s="1"/>
  <c r="D72" i="164"/>
  <c r="D68" i="164"/>
  <c r="D64" i="164"/>
  <c r="D85" i="164"/>
  <c r="G85" i="164" s="1"/>
  <c r="D81" i="164"/>
  <c r="G81" i="164" s="1"/>
  <c r="D77" i="164"/>
  <c r="D73" i="164"/>
  <c r="D69" i="164"/>
  <c r="D86" i="164"/>
  <c r="D82" i="164"/>
  <c r="D78" i="164"/>
  <c r="G78" i="164" s="1"/>
  <c r="D74" i="164"/>
  <c r="D70" i="164"/>
  <c r="D66" i="164"/>
  <c r="D65" i="164"/>
  <c r="D40" i="164"/>
  <c r="D61" i="164"/>
  <c r="D60" i="164"/>
  <c r="D56" i="164"/>
  <c r="D57" i="164"/>
  <c r="D63" i="164"/>
  <c r="D62" i="164"/>
  <c r="D58" i="164"/>
  <c r="D42" i="164"/>
  <c r="D44" i="164"/>
  <c r="D46" i="164"/>
  <c r="D48" i="164"/>
  <c r="D50" i="164"/>
  <c r="D52" i="164"/>
  <c r="D54" i="164"/>
  <c r="D41" i="164"/>
  <c r="D43" i="164"/>
  <c r="D45" i="164"/>
  <c r="D47" i="164"/>
  <c r="D49" i="164"/>
  <c r="D51" i="164"/>
  <c r="D53" i="164"/>
  <c r="D55" i="164"/>
  <c r="E56" i="164"/>
  <c r="D32" i="164"/>
  <c r="I32" i="164" s="1"/>
  <c r="E53" i="164"/>
  <c r="E68" i="164"/>
  <c r="E67" i="164"/>
  <c r="E55" i="164"/>
  <c r="E52" i="164"/>
  <c r="E72" i="164"/>
  <c r="E65" i="164"/>
  <c r="E73" i="164"/>
  <c r="E74" i="164"/>
  <c r="E69" i="164"/>
  <c r="E70" i="164"/>
  <c r="E42" i="164"/>
  <c r="E40" i="164"/>
  <c r="E41" i="164"/>
  <c r="E57" i="164"/>
  <c r="E50" i="164"/>
  <c r="E47" i="164"/>
  <c r="E54" i="164"/>
  <c r="G97" i="164"/>
  <c r="E61" i="164"/>
  <c r="E59" i="164"/>
  <c r="E63" i="164"/>
  <c r="E62" i="164"/>
  <c r="E58" i="164"/>
  <c r="E60" i="164"/>
  <c r="G94" i="164"/>
  <c r="E49" i="164"/>
  <c r="E46" i="164"/>
  <c r="E45" i="164"/>
  <c r="G95" i="164"/>
  <c r="E43" i="164"/>
  <c r="E51" i="164"/>
  <c r="E48" i="164"/>
  <c r="G96" i="164"/>
  <c r="G99" i="164"/>
  <c r="G91" i="164"/>
  <c r="G98" i="164"/>
  <c r="G88" i="164"/>
  <c r="G90" i="164"/>
  <c r="G92" i="164"/>
  <c r="G93" i="164"/>
  <c r="D31" i="164"/>
  <c r="I31" i="164" s="1"/>
  <c r="G89" i="164"/>
  <c r="F100" i="164"/>
  <c r="G75" i="164" l="1"/>
  <c r="G64" i="164"/>
  <c r="G66" i="164"/>
  <c r="G59" i="164"/>
  <c r="G44" i="164"/>
  <c r="G60" i="164"/>
  <c r="E23" i="164"/>
  <c r="G57" i="164"/>
  <c r="G74" i="164"/>
  <c r="G77" i="164"/>
  <c r="G87" i="164"/>
  <c r="G82" i="164"/>
  <c r="G49" i="164"/>
  <c r="G69" i="164"/>
  <c r="G45" i="164"/>
  <c r="G58" i="164"/>
  <c r="G54" i="164"/>
  <c r="G73" i="164"/>
  <c r="G68" i="164"/>
  <c r="G56" i="164"/>
  <c r="G86" i="164"/>
  <c r="G46" i="164"/>
  <c r="G62" i="164"/>
  <c r="G47" i="164"/>
  <c r="G65" i="164"/>
  <c r="G53" i="164"/>
  <c r="G61" i="164"/>
  <c r="G70" i="164"/>
  <c r="G63" i="164"/>
  <c r="G50" i="164"/>
  <c r="G72" i="164"/>
  <c r="G51" i="164"/>
  <c r="G42" i="164"/>
  <c r="G67" i="164"/>
  <c r="G41" i="164"/>
  <c r="G52" i="164"/>
  <c r="G48" i="164"/>
  <c r="G43" i="164"/>
  <c r="G40" i="164"/>
  <c r="D100" i="164"/>
  <c r="G55" i="164"/>
  <c r="E32" i="164"/>
  <c r="E100" i="164"/>
  <c r="F31" i="164"/>
  <c r="F28" i="164" l="1"/>
  <c r="G100" i="164"/>
  <c r="F24" i="164" s="1"/>
  <c r="F26" i="164" s="1"/>
  <c r="E31" i="164"/>
  <c r="H31" i="164" s="1"/>
  <c r="F32" i="164"/>
  <c r="D33" i="164"/>
  <c r="I33" i="164" s="1"/>
  <c r="F33" i="164"/>
  <c r="E33" i="164"/>
  <c r="G33" i="164" s="1"/>
  <c r="D34" i="164"/>
  <c r="I34" i="164" s="1"/>
  <c r="G32" i="164"/>
  <c r="H32" i="164"/>
  <c r="G31" i="164" l="1"/>
  <c r="H33" i="164"/>
  <c r="F34" i="164"/>
  <c r="E34" i="164"/>
  <c r="H34" i="164" l="1"/>
  <c r="G34" i="164"/>
</calcChain>
</file>

<file path=xl/sharedStrings.xml><?xml version="1.0" encoding="utf-8"?>
<sst xmlns="http://schemas.openxmlformats.org/spreadsheetml/2006/main" count="169" uniqueCount="161">
  <si>
    <t>Щомісячний платіж</t>
  </si>
  <si>
    <t>Всього</t>
  </si>
  <si>
    <t>Місяць</t>
  </si>
  <si>
    <t>Загальна сума внесків до повернення в місяць, грн.</t>
  </si>
  <si>
    <t>Розмір щомісячних внесків з повернення кредиту, грн.</t>
  </si>
  <si>
    <t>Розмір щомісячних процентних внесків, грн.</t>
  </si>
  <si>
    <t>Безкоштовна гаряча телефонна лінія:</t>
  </si>
  <si>
    <t xml:space="preserve">                   8-800-505-20-30</t>
  </si>
  <si>
    <t>Інший термін</t>
  </si>
  <si>
    <t>12 місяців</t>
  </si>
  <si>
    <t>%</t>
  </si>
  <si>
    <t>В день</t>
  </si>
  <si>
    <t>В місяць</t>
  </si>
  <si>
    <t>Переплата в місяць</t>
  </si>
  <si>
    <t>Переплата у відсотках за весь період</t>
  </si>
  <si>
    <t>Переплата в день</t>
  </si>
  <si>
    <t>Cash out, грн.</t>
  </si>
  <si>
    <t>Розмір щомісячної плати за обслуговування кредиту, грн.</t>
  </si>
  <si>
    <t>9 місяців</t>
  </si>
  <si>
    <t>6 місяців</t>
  </si>
  <si>
    <t>14 місяців</t>
  </si>
  <si>
    <t>Макс. сума</t>
  </si>
  <si>
    <t>термін</t>
  </si>
  <si>
    <t>% ставка</t>
  </si>
  <si>
    <t>РКО+Страхування</t>
  </si>
  <si>
    <t>Щомісячна комісія</t>
  </si>
  <si>
    <t>max.</t>
  </si>
  <si>
    <t>грн.</t>
  </si>
  <si>
    <t>Щодененний платіж</t>
  </si>
  <si>
    <t>Переплата у грн.               за весь період</t>
  </si>
  <si>
    <t xml:space="preserve">ГРАФІК СПЛАТИ КРЕДИТУ </t>
  </si>
  <si>
    <t>к-ть днів у місяці</t>
  </si>
  <si>
    <t>24 місяців</t>
  </si>
  <si>
    <t>18 місяців</t>
  </si>
  <si>
    <t>Початкова комісія</t>
  </si>
  <si>
    <t>Крок</t>
  </si>
  <si>
    <t>Грейс</t>
  </si>
  <si>
    <t>одноразова,</t>
  </si>
  <si>
    <t xml:space="preserve"> грн.</t>
  </si>
  <si>
    <t>Одноразова комісія, грн.</t>
  </si>
  <si>
    <t>Одноразова комісія, %</t>
  </si>
  <si>
    <t>Термін грейс, міс.</t>
  </si>
  <si>
    <r>
      <rPr>
        <b/>
        <sz val="12"/>
        <color rgb="FFFF0000"/>
        <rFont val="Arial Cyr"/>
        <charset val="204"/>
      </rPr>
      <t>!!!</t>
    </r>
    <r>
      <rPr>
        <b/>
        <sz val="12"/>
        <color theme="1"/>
        <rFont val="Arial Cyr"/>
        <family val="2"/>
        <charset val="204"/>
      </rPr>
      <t xml:space="preserve"> Введіть вартість товару</t>
    </r>
  </si>
  <si>
    <t>Загальна сума кредиту, грн.</t>
  </si>
  <si>
    <t>Процентна ставка, % річних</t>
  </si>
  <si>
    <t>Разовий страховий тариф, %</t>
  </si>
  <si>
    <t xml:space="preserve">Щомісячна плата за обслуговування кредитної заборгованості, % </t>
  </si>
  <si>
    <t>Орієнтовні загальні витрати за кредитом, грн.</t>
  </si>
  <si>
    <r>
      <rPr>
        <b/>
        <sz val="10"/>
        <color rgb="FFFF0000"/>
        <rFont val="Arial"/>
        <family val="2"/>
        <charset val="204"/>
      </rPr>
      <t>!!!</t>
    </r>
    <r>
      <rPr>
        <b/>
        <sz val="10"/>
        <rFont val="Arial"/>
        <family val="2"/>
        <charset val="204"/>
      </rPr>
      <t>Оберіть продукт</t>
    </r>
  </si>
  <si>
    <t>Адреса</t>
  </si>
  <si>
    <t>http://greenbud.kiev.ua/</t>
  </si>
  <si>
    <t>вул. Кримського, б. 4а</t>
  </si>
  <si>
    <t>вул. Русанівська Набережна, буд.20</t>
  </si>
  <si>
    <t>https://touch.com.ua/</t>
  </si>
  <si>
    <t>https://swipe.ua/</t>
  </si>
  <si>
    <t>вул. Гавришкевича, 5</t>
  </si>
  <si>
    <t>пр-кт Степана Бандери, 23, 1 поверх</t>
  </si>
  <si>
    <t>вул. Велика Васильківська, 89</t>
  </si>
  <si>
    <t>https://bomba.co.ua/</t>
  </si>
  <si>
    <t>вул. Дністровська, 45</t>
  </si>
  <si>
    <t>Продукти, зазначені на вкладці "Satellite" надаються на придбання товарів в наступних партнерів Банку:</t>
  </si>
  <si>
    <t>https://stylus.ua/</t>
  </si>
  <si>
    <t>вул. Січових Стрільців, 79</t>
  </si>
  <si>
    <t>https://y.ua/</t>
  </si>
  <si>
    <t>вул. Васильківська, б. 1</t>
  </si>
  <si>
    <t>https://palladium.ua/</t>
  </si>
  <si>
    <t>04074, м. Київ, вул. Вишгородська, б. 22, оф. 8</t>
  </si>
  <si>
    <t>https://chooser.com.ua/</t>
  </si>
  <si>
    <t>41100, Сумська обл., м.Шостка, вул. Бульварна, б. 5,гурт.2, кв.49</t>
  </si>
  <si>
    <t xml:space="preserve">https://divan.com.ua/  </t>
  </si>
  <si>
    <t>https://iglaz.com.ua/</t>
  </si>
  <si>
    <t>вул. Ушинського,3</t>
  </si>
  <si>
    <t xml:space="preserve">https://airclimate.pro/ </t>
  </si>
  <si>
    <t>49089, Дніпропетровська обл., м. Дніпро, вул. Академіка Янгеля, б. 42</t>
  </si>
  <si>
    <t>http://www.skidka.ua/</t>
  </si>
  <si>
    <t>01001, м. Київ, вул. Машинобудівна, б. 8</t>
  </si>
  <si>
    <t>https://fishki.ua/</t>
  </si>
  <si>
    <t xml:space="preserve">м. Київ, пр –кт Перемоги, б. 50 </t>
  </si>
  <si>
    <t xml:space="preserve">https://iroomstore.com.ua/ </t>
  </si>
  <si>
    <t xml:space="preserve">21019, Вінницька обл., м. Вінниця, вул. Тиха, б.3 </t>
  </si>
  <si>
    <t>https://yellow.ua/</t>
  </si>
  <si>
    <t>м. Дніпро, пр. Д. Яворницького, б. 34 ТЦ «Кубометр»</t>
  </si>
  <si>
    <t>https://130.com.ua/</t>
  </si>
  <si>
    <t>пер. Магнітогорський, 3</t>
  </si>
  <si>
    <t xml:space="preserve">https://pulsepad.com.ua/ </t>
  </si>
  <si>
    <t>Леваневського, б. 4</t>
  </si>
  <si>
    <t>https://toiler.com.ua/</t>
  </si>
  <si>
    <t>вул. Борщаговская, 154, 1 ет</t>
  </si>
  <si>
    <t>https://brain.com.ua/</t>
  </si>
  <si>
    <t xml:space="preserve">вул. Вадима Гетьмана, 13 </t>
  </si>
  <si>
    <t>https://www.itbox.ua/</t>
  </si>
  <si>
    <t xml:space="preserve">Дмитриевская, д. 56 </t>
  </si>
  <si>
    <t>https://didi.ua/</t>
  </si>
  <si>
    <t>Антоновича, 3а</t>
  </si>
  <si>
    <t>https://f.ua/</t>
  </si>
  <si>
    <t>вул. Машинобудівна, 44</t>
  </si>
  <si>
    <t>https://smarts.ua/</t>
  </si>
  <si>
    <t>пр. Дмитра Яворницького, б. 44</t>
  </si>
  <si>
    <t>https://tehnopostavka.com.ua/</t>
  </si>
  <si>
    <t>вул. Черноморського Казачества, б. 115</t>
  </si>
  <si>
    <t>https://grokholsky.com/</t>
  </si>
  <si>
    <t>вул. Саксаганского, 41а</t>
  </si>
  <si>
    <t>https://samsungshop.com.ua/</t>
  </si>
  <si>
    <t>Шахтарська, б .11</t>
  </si>
  <si>
    <t>https://shop.kyivstar.ua/</t>
  </si>
  <si>
    <t xml:space="preserve">вул. Шахтарська, 11  </t>
  </si>
  <si>
    <t>https://applecity.com.ua/</t>
  </si>
  <si>
    <t xml:space="preserve">вул. Галицька площа, 20 </t>
  </si>
  <si>
    <t>http://shkolyar-shop.com.ua/</t>
  </si>
  <si>
    <t>Інтернет Магазин, Катерининська, буд. 91</t>
  </si>
  <si>
    <t>https://freestyle.org.ua/</t>
  </si>
  <si>
    <t>https://motostuff.com.ua/</t>
  </si>
  <si>
    <t>Велика Кільцева, 4</t>
  </si>
  <si>
    <t>https://technoplace.com.ua/</t>
  </si>
  <si>
    <t>вул. В. Васильківська, 72</t>
  </si>
  <si>
    <t>https://eldorado.ua/</t>
  </si>
  <si>
    <t xml:space="preserve">пл. Спортивная, 1А </t>
  </si>
  <si>
    <t>https://souzmebel.com.ua/</t>
  </si>
  <si>
    <t>проспект Степана Бандери, буд.8, корпус 16</t>
  </si>
  <si>
    <t>https://mebellavka.com.ua/</t>
  </si>
  <si>
    <t>проспект Степана Бандери, 8, корпус 16</t>
  </si>
  <si>
    <t>https://smartzone.com.ua/</t>
  </si>
  <si>
    <t>вул. Левандовська,3А, оф. 303</t>
  </si>
  <si>
    <t>https://macuser.ua/</t>
  </si>
  <si>
    <t xml:space="preserve">вул. К. Малевича, 86-П, офіс 208 </t>
  </si>
  <si>
    <t>https://www.tovaria.com.ua/</t>
  </si>
  <si>
    <t>вул. Верхній Вал,62</t>
  </si>
  <si>
    <t>вул. Глінки, буд. 1 ТРЦ “Новий Центр”</t>
  </si>
  <si>
    <t>https://www.xiaomi.ua/</t>
  </si>
  <si>
    <t>просп. Степана Бандери, 21</t>
  </si>
  <si>
    <t>https://vseti.com.ua/</t>
  </si>
  <si>
    <t>б-р Тараса Шевченка 62</t>
  </si>
  <si>
    <t>https://ipartner.com.ua</t>
  </si>
  <si>
    <t>вул. Борщаговська, 154, ТРЦ Мармелад</t>
  </si>
  <si>
    <t>http://touchstudio.com.ua/</t>
  </si>
  <si>
    <t xml:space="preserve">вул. ЯРОСЛАВІВСЬКА, 30 </t>
  </si>
  <si>
    <t>https://fotos.ua/</t>
  </si>
  <si>
    <t>ул. Ушинского, 3</t>
  </si>
  <si>
    <t>https://kuliksystem.ua/</t>
  </si>
  <si>
    <t>https://arnage.com.ua/</t>
  </si>
  <si>
    <t xml:space="preserve">вул. Васильківська, 14  </t>
  </si>
  <si>
    <t>https://gtracer.com.ua/</t>
  </si>
  <si>
    <t>вул. Сирецька, б. 9</t>
  </si>
  <si>
    <t>https://gaz-time.ua</t>
  </si>
  <si>
    <t xml:space="preserve">вул. Набережно-Лугова, </t>
  </si>
  <si>
    <t>https://www.flagman.kiev.ua/</t>
  </si>
  <si>
    <t>ул. Волинськаа, 48/50</t>
  </si>
  <si>
    <t>https://www.taburetka.ua/</t>
  </si>
  <si>
    <t>ул. Біломорська 2</t>
  </si>
  <si>
    <t>https://za5aya.com/</t>
  </si>
  <si>
    <t>проспект Степана Бандери, 10 б</t>
  </si>
  <si>
    <t>Продукт</t>
  </si>
  <si>
    <t xml:space="preserve">I-SHOP_Eldorado_0-3-24
I-SHOP_Eldorado_0-6-24
I-SHOP_Eldorado_0-10-24
I-SHOP_Eldorado_0-14-24
I-SHOP_Eldorado_0-24-24
</t>
  </si>
  <si>
    <t>I-SHOP_GAZ TIME_0-6-12</t>
  </si>
  <si>
    <t xml:space="preserve">Інтернет-магазин </t>
  </si>
  <si>
    <r>
      <rPr>
        <b/>
        <sz val="10"/>
        <rFont val="Arial Cyr"/>
        <charset val="204"/>
      </rPr>
      <t xml:space="preserve">I-SHOP_Premium_0-3-12,
I-SHOP_Premium_INS_0-3-12,
I-SHOP_Premium_0-6-12,
I-SHOP_Premium_INS_0-6-24,
I-SHOP_Premium_INS_0-10-2,
I-SHOP_Premium_0-3-12,
I-SHOP_Premium_INS_0-3-12,
I-SHOP_Premium_0-6-12,
I-SHOP_Premium_INS_0-6-24,
I-SHOP_Premium_INS_0-10-24
</t>
    </r>
    <r>
      <rPr>
        <sz val="10"/>
        <rFont val="Arial Cyr"/>
        <charset val="204"/>
      </rPr>
      <t xml:space="preserve">
</t>
    </r>
  </si>
  <si>
    <t>Орієнтовна загальна вартість кредиту, грн.</t>
  </si>
  <si>
    <t>Орієнтовний платіж, грн.</t>
  </si>
  <si>
    <t>Термін кредитування (міс.)</t>
  </si>
  <si>
    <t>Реальна річна процентна ставка, %</t>
  </si>
  <si>
    <t>NST Ідея_0-9-24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</si>
</sst>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_-* #,##0.00_₴_-;\-* #,##0.00_₴_-;_-* &quot;-&quot;??_₴_-;_-@_-"/>
    <numFmt numFmtId="165" formatCode="_-* #,##0.00\ _ _-;\-* #,##0.00\ _ _-;_-* &quot;-&quot;??\ _ _-;_-@_-"/>
    <numFmt numFmtId="166" formatCode="#&quot; &quot;##0"/>
    <numFmt numFmtId="167" formatCode="0.0%"/>
    <numFmt numFmtId="168" formatCode="#&quot; &quot;##0.0"/>
    <numFmt numFmtId="169" formatCode="#&quot; &quot;##0.00"/>
    <numFmt numFmtId="170" formatCode="#&quot; &quot;##0.00\ [$грн.-422]"/>
    <numFmt numFmtId="171" formatCode="#&quot; &quot;##0.0\ [$грн.-422]"/>
    <numFmt numFmtId="172" formatCode="0.0"/>
    <numFmt numFmtId="173" formatCode="_-* #&quot; &quot;##0.0\ _ _-;\-* #&quot; &quot;##0.0\ _ _-;_-* &quot;-&quot;??\ _ _-;_-@_-"/>
    <numFmt numFmtId="174" formatCode="_-* #&quot; &quot;##0\ _ _-;\-* #&quot; &quot;##0\ _ _-;_-* &quot;-&quot;??\ _ _-;_-@_-"/>
    <numFmt numFmtId="175" formatCode="#&quot; &quot;##0_ ;\-#&quot; &quot;##0\ "/>
    <numFmt numFmtId="176" formatCode="0.0000%"/>
    <numFmt numFmtId="177" formatCode="0.000000%"/>
    <numFmt numFmtId="178" formatCode="_-* #,##0.00&quot; &quot;_-;\-* #,##0.00&quot; &quot;_-;_-* &quot;-&quot;??&quot; &quot;_-;_-@_-"/>
    <numFmt numFmtId="179" formatCode="_-* #,##0\ _ _-;\-* #,##0\ _ _-;_-* &quot;-&quot;??\ _ _-;_-@_-"/>
    <numFmt numFmtId="180" formatCode="#####&quot; &quot;##0.0"/>
    <numFmt numFmtId="181" formatCode="#,##0.00\ &quot;₴&quot;"/>
  </numFmts>
  <fonts count="4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38"/>
    </font>
    <font>
      <b/>
      <sz val="10"/>
      <name val="Arial Cyr"/>
      <family val="2"/>
      <charset val="204"/>
    </font>
    <font>
      <sz val="10"/>
      <color indexed="9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indexed="9"/>
      <name val="Arial Cyr"/>
      <family val="2"/>
      <charset val="204"/>
    </font>
    <font>
      <b/>
      <sz val="10"/>
      <color indexed="22"/>
      <name val="Arial Cyr"/>
      <family val="2"/>
      <charset val="204"/>
    </font>
    <font>
      <sz val="10"/>
      <color indexed="22"/>
      <name val="Arial"/>
      <family val="2"/>
      <charset val="204"/>
    </font>
    <font>
      <b/>
      <sz val="14"/>
      <name val="Arial Cyr"/>
      <family val="2"/>
      <charset val="204"/>
    </font>
    <font>
      <b/>
      <sz val="12"/>
      <name val="Arial Cyr"/>
      <family val="2"/>
      <charset val="204"/>
    </font>
    <font>
      <b/>
      <sz val="16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9"/>
      <name val="Arial"/>
      <family val="2"/>
      <charset val="204"/>
    </font>
    <font>
      <b/>
      <sz val="8"/>
      <color indexed="22"/>
      <name val="Arial"/>
      <family val="2"/>
      <charset val="204"/>
    </font>
    <font>
      <b/>
      <sz val="10"/>
      <color indexed="22"/>
      <name val="Arial"/>
      <family val="2"/>
      <charset val="204"/>
    </font>
    <font>
      <sz val="8"/>
      <name val="Arial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color indexed="55"/>
      <name val="Arial Cyr"/>
      <charset val="204"/>
    </font>
    <font>
      <b/>
      <sz val="8"/>
      <name val="Arial Cyr"/>
      <family val="2"/>
      <charset val="204"/>
    </font>
    <font>
      <sz val="7"/>
      <name val="Arial"/>
      <family val="2"/>
      <charset val="204"/>
    </font>
    <font>
      <b/>
      <sz val="7.5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theme="0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10"/>
      <color rgb="FFFF0000"/>
      <name val="Arial Cyr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theme="1"/>
      <name val="Arial Cyr"/>
      <family val="2"/>
      <charset val="204"/>
    </font>
    <font>
      <sz val="10"/>
      <color theme="0"/>
      <name val="Arial Cyr"/>
      <charset val="204"/>
    </font>
    <font>
      <sz val="8"/>
      <color theme="0"/>
      <name val="Arial"/>
      <family val="2"/>
      <charset val="204"/>
    </font>
    <font>
      <sz val="10"/>
      <color theme="1"/>
      <name val="Arial"/>
      <family val="2"/>
      <charset val="204"/>
    </font>
    <font>
      <b/>
      <sz val="8"/>
      <color theme="0"/>
      <name val="Arial"/>
      <family val="2"/>
      <charset val="204"/>
    </font>
    <font>
      <sz val="10"/>
      <color rgb="FFFF0000"/>
      <name val="Arial Cyr"/>
      <charset val="204"/>
    </font>
    <font>
      <b/>
      <u/>
      <sz val="11"/>
      <color rgb="FFFF0000"/>
      <name val="Arial Narrow"/>
      <family val="2"/>
      <charset val="204"/>
    </font>
    <font>
      <b/>
      <sz val="8"/>
      <color rgb="FFFF0000"/>
      <name val="Arial Cyr"/>
      <family val="2"/>
      <charset val="204"/>
    </font>
    <font>
      <b/>
      <sz val="16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2"/>
      <color theme="1"/>
      <name val="Arial Cyr"/>
      <family val="2"/>
      <charset val="204"/>
    </font>
    <font>
      <b/>
      <sz val="12"/>
      <color rgb="FFFF0000"/>
      <name val="Arial Cyr"/>
      <charset val="204"/>
    </font>
    <font>
      <b/>
      <sz val="12"/>
      <color theme="1"/>
      <name val="Arial Cyr"/>
      <charset val="204"/>
    </font>
    <font>
      <b/>
      <u/>
      <sz val="8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80">
    <xf numFmtId="0" fontId="0" fillId="0" borderId="0"/>
    <xf numFmtId="178" fontId="1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3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6" fillId="0" borderId="0" applyFont="0" applyFill="0" applyBorder="0" applyAlignment="0" applyProtection="0"/>
  </cellStyleXfs>
  <cellXfs count="259">
    <xf numFmtId="0" fontId="0" fillId="0" borderId="0" xfId="0"/>
    <xf numFmtId="0" fontId="7" fillId="3" borderId="0" xfId="49" applyFont="1" applyFill="1"/>
    <xf numFmtId="0" fontId="3" fillId="3" borderId="0" xfId="49" applyFill="1"/>
    <xf numFmtId="0" fontId="0" fillId="3" borderId="0" xfId="0" applyFill="1"/>
    <xf numFmtId="0" fontId="3" fillId="0" borderId="0" xfId="49"/>
    <xf numFmtId="10" fontId="2" fillId="0" borderId="1" xfId="49" applyNumberFormat="1" applyFont="1" applyBorder="1" applyAlignment="1">
      <alignment horizontal="center"/>
    </xf>
    <xf numFmtId="10" fontId="15" fillId="0" borderId="1" xfId="49" applyNumberFormat="1" applyFont="1" applyBorder="1" applyAlignment="1">
      <alignment horizontal="center"/>
    </xf>
    <xf numFmtId="0" fontId="7" fillId="0" borderId="0" xfId="49" applyFont="1"/>
    <xf numFmtId="170" fontId="2" fillId="0" borderId="1" xfId="49" applyNumberFormat="1" applyFont="1" applyBorder="1" applyAlignment="1">
      <alignment horizontal="center"/>
    </xf>
    <xf numFmtId="170" fontId="15" fillId="0" borderId="1" xfId="49" applyNumberFormat="1" applyFont="1" applyBorder="1" applyAlignment="1">
      <alignment horizontal="center"/>
    </xf>
    <xf numFmtId="0" fontId="6" fillId="3" borderId="0" xfId="0" applyFont="1" applyFill="1" applyAlignment="1">
      <alignment horizontal="left"/>
    </xf>
    <xf numFmtId="0" fontId="18" fillId="3" borderId="0" xfId="49" applyFont="1" applyFill="1"/>
    <xf numFmtId="0" fontId="17" fillId="3" borderId="0" xfId="49" applyFont="1" applyFill="1" applyAlignment="1">
      <alignment horizontal="center"/>
    </xf>
    <xf numFmtId="167" fontId="2" fillId="0" borderId="1" xfId="49" applyNumberFormat="1" applyFont="1" applyBorder="1" applyAlignment="1">
      <alignment horizontal="center"/>
    </xf>
    <xf numFmtId="171" fontId="19" fillId="0" borderId="1" xfId="49" applyNumberFormat="1" applyFont="1" applyBorder="1" applyAlignment="1">
      <alignment horizontal="center"/>
    </xf>
    <xf numFmtId="170" fontId="19" fillId="0" borderId="1" xfId="49" applyNumberFormat="1" applyFont="1" applyBorder="1" applyAlignment="1">
      <alignment horizontal="center"/>
    </xf>
    <xf numFmtId="0" fontId="10" fillId="3" borderId="0" xfId="0" applyFont="1" applyFill="1"/>
    <xf numFmtId="166" fontId="11" fillId="3" borderId="0" xfId="49" applyNumberFormat="1" applyFont="1" applyFill="1"/>
    <xf numFmtId="0" fontId="11" fillId="3" borderId="0" xfId="49" applyFont="1" applyFill="1"/>
    <xf numFmtId="2" fontId="3" fillId="0" borderId="1" xfId="49" applyNumberFormat="1" applyBorder="1"/>
    <xf numFmtId="168" fontId="3" fillId="0" borderId="1" xfId="49" applyNumberFormat="1" applyBorder="1"/>
    <xf numFmtId="0" fontId="5" fillId="3" borderId="0" xfId="49" applyFont="1" applyFill="1" applyAlignment="1">
      <alignment horizontal="right"/>
    </xf>
    <xf numFmtId="10" fontId="5" fillId="3" borderId="0" xfId="49" applyNumberFormat="1" applyFont="1" applyFill="1"/>
    <xf numFmtId="0" fontId="2" fillId="3" borderId="0" xfId="49" applyFont="1" applyFill="1" applyAlignment="1">
      <alignment horizontal="right"/>
    </xf>
    <xf numFmtId="9" fontId="2" fillId="3" borderId="0" xfId="49" applyNumberFormat="1" applyFont="1" applyFill="1" applyAlignment="1">
      <alignment horizontal="left"/>
    </xf>
    <xf numFmtId="9" fontId="3" fillId="3" borderId="0" xfId="49" applyNumberFormat="1" applyFill="1" applyAlignment="1">
      <alignment horizontal="left"/>
    </xf>
    <xf numFmtId="9" fontId="2" fillId="0" borderId="0" xfId="49" applyNumberFormat="1" applyFont="1" applyAlignment="1">
      <alignment horizontal="left"/>
    </xf>
    <xf numFmtId="9" fontId="3" fillId="0" borderId="0" xfId="49" applyNumberFormat="1" applyAlignment="1">
      <alignment horizontal="left"/>
    </xf>
    <xf numFmtId="0" fontId="2" fillId="3" borderId="0" xfId="49" applyFont="1" applyFill="1"/>
    <xf numFmtId="0" fontId="15" fillId="3" borderId="0" xfId="49" applyFont="1" applyFill="1" applyAlignment="1">
      <alignment horizontal="center"/>
    </xf>
    <xf numFmtId="170" fontId="3" fillId="0" borderId="2" xfId="49" applyNumberFormat="1" applyBorder="1" applyAlignment="1">
      <alignment horizontal="center"/>
    </xf>
    <xf numFmtId="170" fontId="3" fillId="0" borderId="3" xfId="49" applyNumberFormat="1" applyBorder="1" applyAlignment="1">
      <alignment horizontal="center"/>
    </xf>
    <xf numFmtId="0" fontId="2" fillId="3" borderId="4" xfId="49" applyFont="1" applyFill="1" applyBorder="1"/>
    <xf numFmtId="9" fontId="15" fillId="3" borderId="0" xfId="49" applyNumberFormat="1" applyFont="1" applyFill="1" applyAlignment="1">
      <alignment horizontal="center"/>
    </xf>
    <xf numFmtId="0" fontId="15" fillId="0" borderId="0" xfId="49" applyFont="1" applyAlignment="1">
      <alignment horizontal="center"/>
    </xf>
    <xf numFmtId="0" fontId="21" fillId="3" borderId="0" xfId="0" applyFont="1" applyFill="1"/>
    <xf numFmtId="0" fontId="22" fillId="3" borderId="0" xfId="0" applyFont="1" applyFill="1"/>
    <xf numFmtId="0" fontId="27" fillId="0" borderId="0" xfId="49" applyFont="1"/>
    <xf numFmtId="0" fontId="28" fillId="0" borderId="0" xfId="49" applyFont="1"/>
    <xf numFmtId="1" fontId="27" fillId="0" borderId="0" xfId="49" applyNumberFormat="1" applyFont="1"/>
    <xf numFmtId="0" fontId="29" fillId="3" borderId="0" xfId="49" applyFont="1" applyFill="1"/>
    <xf numFmtId="0" fontId="6" fillId="0" borderId="0" xfId="0" applyFont="1" applyAlignment="1">
      <alignment horizontal="left"/>
    </xf>
    <xf numFmtId="0" fontId="28" fillId="3" borderId="0" xfId="49" applyFont="1" applyFill="1"/>
    <xf numFmtId="0" fontId="7" fillId="4" borderId="0" xfId="49" applyFont="1" applyFill="1"/>
    <xf numFmtId="0" fontId="3" fillId="4" borderId="0" xfId="49" applyFill="1"/>
    <xf numFmtId="0" fontId="2" fillId="4" borderId="0" xfId="49" applyFont="1" applyFill="1"/>
    <xf numFmtId="0" fontId="0" fillId="4" borderId="0" xfId="0" applyFill="1"/>
    <xf numFmtId="1" fontId="27" fillId="0" borderId="0" xfId="72" applyNumberFormat="1" applyFont="1" applyFill="1" applyProtection="1"/>
    <xf numFmtId="1" fontId="27" fillId="0" borderId="0" xfId="76" applyNumberFormat="1" applyFont="1" applyFill="1" applyProtection="1"/>
    <xf numFmtId="9" fontId="27" fillId="0" borderId="0" xfId="50" applyFont="1" applyFill="1" applyProtection="1"/>
    <xf numFmtId="10" fontId="27" fillId="0" borderId="0" xfId="50" applyNumberFormat="1" applyFont="1" applyFill="1" applyProtection="1"/>
    <xf numFmtId="0" fontId="19" fillId="0" borderId="0" xfId="49" applyFont="1"/>
    <xf numFmtId="0" fontId="24" fillId="0" borderId="0" xfId="49" applyFont="1"/>
    <xf numFmtId="173" fontId="27" fillId="0" borderId="0" xfId="75" applyNumberFormat="1" applyFont="1" applyFill="1" applyProtection="1"/>
    <xf numFmtId="174" fontId="27" fillId="0" borderId="0" xfId="75" applyNumberFormat="1" applyFont="1" applyFill="1" applyProtection="1"/>
    <xf numFmtId="167" fontId="3" fillId="0" borderId="2" xfId="50" applyNumberFormat="1" applyFont="1" applyFill="1" applyBorder="1" applyAlignment="1" applyProtection="1">
      <alignment horizontal="center"/>
    </xf>
    <xf numFmtId="167" fontId="3" fillId="0" borderId="3" xfId="50" applyNumberFormat="1" applyFont="1" applyFill="1" applyBorder="1" applyAlignment="1" applyProtection="1">
      <alignment horizontal="center"/>
    </xf>
    <xf numFmtId="172" fontId="2" fillId="0" borderId="1" xfId="49" applyNumberFormat="1" applyFont="1" applyBorder="1" applyAlignment="1">
      <alignment horizontal="center"/>
    </xf>
    <xf numFmtId="172" fontId="15" fillId="0" borderId="1" xfId="49" applyNumberFormat="1" applyFont="1" applyBorder="1" applyAlignment="1">
      <alignment horizontal="center"/>
    </xf>
    <xf numFmtId="1" fontId="14" fillId="0" borderId="5" xfId="49" applyNumberFormat="1" applyFont="1" applyBorder="1" applyAlignment="1" applyProtection="1">
      <alignment horizontal="center" vertical="top" wrapText="1"/>
      <protection locked="0"/>
    </xf>
    <xf numFmtId="1" fontId="2" fillId="0" borderId="5" xfId="49" applyNumberFormat="1" applyFont="1" applyBorder="1" applyAlignment="1">
      <alignment horizontal="center" vertical="center"/>
    </xf>
    <xf numFmtId="0" fontId="6" fillId="0" borderId="0" xfId="0" applyFont="1"/>
    <xf numFmtId="1" fontId="3" fillId="0" borderId="0" xfId="49" applyNumberFormat="1" applyAlignment="1">
      <alignment vertical="top" wrapText="1"/>
    </xf>
    <xf numFmtId="0" fontId="2" fillId="0" borderId="0" xfId="49" applyFont="1"/>
    <xf numFmtId="0" fontId="6" fillId="0" borderId="6" xfId="0" applyFont="1" applyBorder="1" applyAlignment="1">
      <alignment horizontal="left"/>
    </xf>
    <xf numFmtId="10" fontId="2" fillId="0" borderId="0" xfId="49" applyNumberFormat="1" applyFont="1" applyAlignment="1">
      <alignment horizontal="center"/>
    </xf>
    <xf numFmtId="10" fontId="2" fillId="0" borderId="0" xfId="72" applyNumberFormat="1" applyFont="1" applyFill="1" applyAlignment="1" applyProtection="1">
      <alignment horizontal="center" vertical="top" wrapText="1"/>
    </xf>
    <xf numFmtId="175" fontId="2" fillId="0" borderId="1" xfId="75" applyNumberFormat="1" applyFont="1" applyFill="1" applyBorder="1" applyAlignment="1" applyProtection="1">
      <alignment horizontal="center"/>
    </xf>
    <xf numFmtId="0" fontId="9" fillId="0" borderId="0" xfId="0" applyFont="1"/>
    <xf numFmtId="1" fontId="29" fillId="0" borderId="0" xfId="49" applyNumberFormat="1" applyFont="1" applyAlignment="1">
      <alignment vertical="top" wrapText="1"/>
    </xf>
    <xf numFmtId="0" fontId="16" fillId="0" borderId="0" xfId="49" applyFont="1" applyAlignment="1">
      <alignment horizontal="center"/>
    </xf>
    <xf numFmtId="166" fontId="29" fillId="0" borderId="0" xfId="49" applyNumberFormat="1" applyFont="1"/>
    <xf numFmtId="170" fontId="2" fillId="0" borderId="0" xfId="49" applyNumberFormat="1" applyFont="1" applyAlignment="1">
      <alignment horizontal="center"/>
    </xf>
    <xf numFmtId="0" fontId="18" fillId="0" borderId="0" xfId="49" applyFont="1"/>
    <xf numFmtId="0" fontId="17" fillId="0" borderId="0" xfId="49" applyFont="1" applyAlignment="1">
      <alignment horizontal="center"/>
    </xf>
    <xf numFmtId="170" fontId="2" fillId="0" borderId="6" xfId="49" applyNumberFormat="1" applyFont="1" applyBorder="1"/>
    <xf numFmtId="0" fontId="23" fillId="0" borderId="1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10" fontId="15" fillId="0" borderId="1" xfId="49" applyNumberFormat="1" applyFont="1" applyBorder="1" applyAlignment="1">
      <alignment horizontal="center" vertical="center" wrapText="1"/>
    </xf>
    <xf numFmtId="166" fontId="3" fillId="0" borderId="0" xfId="49" applyNumberFormat="1"/>
    <xf numFmtId="0" fontId="10" fillId="0" borderId="0" xfId="0" applyFont="1"/>
    <xf numFmtId="166" fontId="11" fillId="0" borderId="0" xfId="49" applyNumberFormat="1" applyFont="1"/>
    <xf numFmtId="0" fontId="11" fillId="0" borderId="0" xfId="49" applyFont="1"/>
    <xf numFmtId="166" fontId="15" fillId="0" borderId="7" xfId="49" applyNumberFormat="1" applyFont="1" applyBorder="1" applyAlignment="1">
      <alignment horizontal="center" vertical="center" wrapText="1"/>
    </xf>
    <xf numFmtId="0" fontId="5" fillId="0" borderId="0" xfId="49" applyFont="1" applyAlignment="1">
      <alignment horizontal="right"/>
    </xf>
    <xf numFmtId="10" fontId="5" fillId="0" borderId="0" xfId="49" applyNumberFormat="1" applyFont="1"/>
    <xf numFmtId="0" fontId="2" fillId="0" borderId="0" xfId="49" applyFont="1" applyAlignment="1">
      <alignment horizontal="right"/>
    </xf>
    <xf numFmtId="9" fontId="15" fillId="0" borderId="0" xfId="49" applyNumberFormat="1" applyFont="1" applyAlignment="1">
      <alignment horizontal="center"/>
    </xf>
    <xf numFmtId="0" fontId="28" fillId="4" borderId="0" xfId="49" applyFont="1" applyFill="1"/>
    <xf numFmtId="0" fontId="30" fillId="4" borderId="0" xfId="49" applyFont="1" applyFill="1" applyAlignment="1">
      <alignment horizontal="center"/>
    </xf>
    <xf numFmtId="0" fontId="7" fillId="3" borderId="8" xfId="49" applyFont="1" applyFill="1" applyBorder="1"/>
    <xf numFmtId="0" fontId="3" fillId="3" borderId="9" xfId="49" applyFill="1" applyBorder="1"/>
    <xf numFmtId="4" fontId="3" fillId="3" borderId="10" xfId="49" applyNumberFormat="1" applyFill="1" applyBorder="1"/>
    <xf numFmtId="169" fontId="8" fillId="2" borderId="11" xfId="49" applyNumberFormat="1" applyFont="1" applyFill="1" applyBorder="1" applyAlignment="1">
      <alignment horizontal="right" vertical="center"/>
    </xf>
    <xf numFmtId="0" fontId="31" fillId="3" borderId="0" xfId="0" applyFont="1" applyFill="1"/>
    <xf numFmtId="166" fontId="15" fillId="5" borderId="7" xfId="49" applyNumberFormat="1" applyFont="1" applyFill="1" applyBorder="1" applyAlignment="1">
      <alignment horizontal="center" vertical="center" wrapText="1"/>
    </xf>
    <xf numFmtId="0" fontId="32" fillId="3" borderId="0" xfId="49" applyFont="1" applyFill="1"/>
    <xf numFmtId="0" fontId="3" fillId="7" borderId="0" xfId="49" applyFill="1"/>
    <xf numFmtId="0" fontId="7" fillId="7" borderId="0" xfId="49" applyFont="1" applyFill="1"/>
    <xf numFmtId="169" fontId="8" fillId="2" borderId="12" xfId="49" applyNumberFormat="1" applyFont="1" applyFill="1" applyBorder="1" applyAlignment="1">
      <alignment horizontal="right" vertical="center"/>
    </xf>
    <xf numFmtId="0" fontId="3" fillId="0" borderId="18" xfId="49" applyBorder="1" applyAlignment="1">
      <alignment horizontal="center"/>
    </xf>
    <xf numFmtId="0" fontId="3" fillId="0" borderId="19" xfId="49" applyBorder="1" applyAlignment="1">
      <alignment horizontal="center"/>
    </xf>
    <xf numFmtId="0" fontId="33" fillId="3" borderId="0" xfId="0" applyFont="1" applyFill="1"/>
    <xf numFmtId="14" fontId="3" fillId="0" borderId="1" xfId="49" applyNumberFormat="1" applyBorder="1" applyAlignment="1">
      <alignment horizontal="center"/>
    </xf>
    <xf numFmtId="0" fontId="34" fillId="4" borderId="0" xfId="0" applyFont="1" applyFill="1"/>
    <xf numFmtId="0" fontId="15" fillId="4" borderId="0" xfId="49" applyFont="1" applyFill="1" applyAlignment="1">
      <alignment horizontal="center"/>
    </xf>
    <xf numFmtId="14" fontId="3" fillId="0" borderId="16" xfId="49" applyNumberFormat="1" applyBorder="1" applyAlignment="1">
      <alignment horizontal="center"/>
    </xf>
    <xf numFmtId="2" fontId="3" fillId="0" borderId="16" xfId="49" applyNumberFormat="1" applyBorder="1"/>
    <xf numFmtId="168" fontId="3" fillId="0" borderId="16" xfId="49" applyNumberFormat="1" applyBorder="1"/>
    <xf numFmtId="0" fontId="35" fillId="4" borderId="0" xfId="49" applyFont="1" applyFill="1"/>
    <xf numFmtId="0" fontId="35" fillId="4" borderId="0" xfId="49" applyFont="1" applyFill="1" applyAlignment="1">
      <alignment horizontal="right"/>
    </xf>
    <xf numFmtId="0" fontId="36" fillId="4" borderId="0" xfId="49" applyFont="1" applyFill="1"/>
    <xf numFmtId="0" fontId="30" fillId="3" borderId="0" xfId="49" applyFont="1" applyFill="1" applyAlignment="1">
      <alignment horizontal="center"/>
    </xf>
    <xf numFmtId="166" fontId="28" fillId="3" borderId="0" xfId="49" applyNumberFormat="1" applyFont="1" applyFill="1"/>
    <xf numFmtId="0" fontId="31" fillId="3" borderId="0" xfId="0" applyFont="1" applyFill="1" applyAlignment="1">
      <alignment horizontal="left"/>
    </xf>
    <xf numFmtId="10" fontId="32" fillId="3" borderId="0" xfId="49" applyNumberFormat="1" applyFont="1" applyFill="1" applyAlignment="1">
      <alignment horizontal="center"/>
    </xf>
    <xf numFmtId="0" fontId="0" fillId="0" borderId="0" xfId="0" applyProtection="1">
      <protection hidden="1"/>
    </xf>
    <xf numFmtId="10" fontId="0" fillId="0" borderId="0" xfId="50" applyNumberFormat="1" applyFont="1" applyProtection="1">
      <protection hidden="1"/>
    </xf>
    <xf numFmtId="173" fontId="0" fillId="0" borderId="0" xfId="75" applyNumberFormat="1" applyFont="1" applyProtection="1">
      <protection hidden="1"/>
    </xf>
    <xf numFmtId="0" fontId="27" fillId="4" borderId="0" xfId="49" applyFont="1" applyFill="1"/>
    <xf numFmtId="0" fontId="38" fillId="3" borderId="0" xfId="0" applyFont="1" applyFill="1"/>
    <xf numFmtId="1" fontId="0" fillId="10" borderId="0" xfId="0" applyNumberFormat="1" applyFill="1" applyProtection="1">
      <protection hidden="1"/>
    </xf>
    <xf numFmtId="0" fontId="40" fillId="2" borderId="1" xfId="0" applyFont="1" applyFill="1" applyBorder="1" applyAlignment="1">
      <alignment horizontal="center" vertical="center" wrapText="1"/>
    </xf>
    <xf numFmtId="0" fontId="40" fillId="2" borderId="6" xfId="0" applyFont="1" applyFill="1" applyBorder="1" applyAlignment="1">
      <alignment horizontal="center" vertical="center" wrapText="1"/>
    </xf>
    <xf numFmtId="10" fontId="30" fillId="2" borderId="1" xfId="49" applyNumberFormat="1" applyFont="1" applyFill="1" applyBorder="1" applyAlignment="1">
      <alignment horizontal="center" vertical="center" wrapText="1"/>
    </xf>
    <xf numFmtId="170" fontId="28" fillId="0" borderId="2" xfId="49" applyNumberFormat="1" applyFont="1" applyBorder="1" applyAlignment="1">
      <alignment horizontal="center"/>
    </xf>
    <xf numFmtId="167" fontId="28" fillId="0" borderId="2" xfId="50" applyNumberFormat="1" applyFont="1" applyFill="1" applyBorder="1" applyAlignment="1" applyProtection="1">
      <alignment horizontal="center"/>
    </xf>
    <xf numFmtId="171" fontId="27" fillId="0" borderId="1" xfId="49" applyNumberFormat="1" applyFont="1" applyBorder="1" applyAlignment="1">
      <alignment horizontal="center"/>
    </xf>
    <xf numFmtId="170" fontId="27" fillId="0" borderId="1" xfId="49" applyNumberFormat="1" applyFont="1" applyBorder="1" applyAlignment="1">
      <alignment horizontal="center"/>
    </xf>
    <xf numFmtId="170" fontId="27" fillId="3" borderId="1" xfId="49" applyNumberFormat="1" applyFont="1" applyFill="1" applyBorder="1" applyAlignment="1">
      <alignment horizontal="center"/>
    </xf>
    <xf numFmtId="170" fontId="28" fillId="0" borderId="3" xfId="49" applyNumberFormat="1" applyFont="1" applyBorder="1" applyAlignment="1">
      <alignment horizontal="center"/>
    </xf>
    <xf numFmtId="167" fontId="28" fillId="0" borderId="3" xfId="50" applyNumberFormat="1" applyFont="1" applyFill="1" applyBorder="1" applyAlignment="1" applyProtection="1">
      <alignment horizontal="center"/>
    </xf>
    <xf numFmtId="0" fontId="35" fillId="0" borderId="0" xfId="49" applyFont="1"/>
    <xf numFmtId="172" fontId="37" fillId="3" borderId="0" xfId="49" applyNumberFormat="1" applyFont="1" applyFill="1" applyAlignment="1">
      <alignment horizontal="center" vertical="center"/>
    </xf>
    <xf numFmtId="10" fontId="42" fillId="3" borderId="1" xfId="49" applyNumberFormat="1" applyFont="1" applyFill="1" applyBorder="1" applyAlignment="1">
      <alignment horizontal="center"/>
    </xf>
    <xf numFmtId="0" fontId="33" fillId="3" borderId="0" xfId="0" applyFont="1" applyFill="1" applyAlignment="1">
      <alignment horizontal="left"/>
    </xf>
    <xf numFmtId="0" fontId="36" fillId="3" borderId="0" xfId="49" applyFont="1" applyFill="1" applyAlignment="1">
      <alignment horizontal="left"/>
    </xf>
    <xf numFmtId="10" fontId="42" fillId="3" borderId="0" xfId="49" applyNumberFormat="1" applyFont="1" applyFill="1" applyAlignment="1">
      <alignment horizontal="center"/>
    </xf>
    <xf numFmtId="0" fontId="42" fillId="3" borderId="0" xfId="49" applyFont="1" applyFill="1"/>
    <xf numFmtId="0" fontId="43" fillId="3" borderId="0" xfId="49" applyFont="1" applyFill="1" applyAlignment="1">
      <alignment horizontal="center"/>
    </xf>
    <xf numFmtId="0" fontId="42" fillId="3" borderId="1" xfId="49" applyFont="1" applyFill="1" applyBorder="1" applyAlignment="1">
      <alignment horizontal="center"/>
    </xf>
    <xf numFmtId="175" fontId="42" fillId="3" borderId="1" xfId="75" applyNumberFormat="1" applyFont="1" applyFill="1" applyBorder="1" applyAlignment="1" applyProtection="1">
      <alignment horizontal="center"/>
    </xf>
    <xf numFmtId="0" fontId="36" fillId="3" borderId="0" xfId="49" applyFont="1" applyFill="1"/>
    <xf numFmtId="170" fontId="42" fillId="3" borderId="0" xfId="49" applyNumberFormat="1" applyFont="1" applyFill="1" applyAlignment="1">
      <alignment horizontal="center"/>
    </xf>
    <xf numFmtId="2" fontId="42" fillId="0" borderId="1" xfId="49" applyNumberFormat="1" applyFont="1" applyBorder="1" applyAlignment="1">
      <alignment horizontal="center"/>
    </xf>
    <xf numFmtId="0" fontId="33" fillId="3" borderId="6" xfId="0" applyFont="1" applyFill="1" applyBorder="1" applyAlignment="1">
      <alignment horizontal="left"/>
    </xf>
    <xf numFmtId="170" fontId="42" fillId="3" borderId="6" xfId="49" applyNumberFormat="1" applyFont="1" applyFill="1" applyBorder="1"/>
    <xf numFmtId="167" fontId="42" fillId="0" borderId="1" xfId="49" applyNumberFormat="1" applyFont="1" applyBorder="1" applyAlignment="1">
      <alignment horizontal="center"/>
    </xf>
    <xf numFmtId="1" fontId="29" fillId="4" borderId="0" xfId="49" applyNumberFormat="1" applyFont="1" applyFill="1" applyAlignment="1">
      <alignment vertical="top" wrapText="1"/>
    </xf>
    <xf numFmtId="166" fontId="29" fillId="4" borderId="0" xfId="49" applyNumberFormat="1" applyFont="1" applyFill="1"/>
    <xf numFmtId="179" fontId="28" fillId="3" borderId="0" xfId="49" applyNumberFormat="1" applyFont="1" applyFill="1"/>
    <xf numFmtId="0" fontId="0" fillId="11" borderId="0" xfId="0" applyFill="1" applyProtection="1">
      <protection hidden="1"/>
    </xf>
    <xf numFmtId="10" fontId="1" fillId="11" borderId="0" xfId="50" applyNumberFormat="1" applyFont="1" applyFill="1" applyProtection="1">
      <protection hidden="1"/>
    </xf>
    <xf numFmtId="4" fontId="1" fillId="11" borderId="0" xfId="4" applyNumberFormat="1" applyFill="1" applyAlignment="1" applyProtection="1">
      <alignment horizontal="center"/>
      <protection hidden="1"/>
    </xf>
    <xf numFmtId="176" fontId="1" fillId="11" borderId="1" xfId="73" applyNumberFormat="1" applyFont="1" applyFill="1" applyBorder="1" applyAlignment="1">
      <alignment horizontal="center"/>
    </xf>
    <xf numFmtId="177" fontId="1" fillId="11" borderId="1" xfId="50" applyNumberFormat="1" applyFont="1" applyFill="1" applyBorder="1" applyAlignment="1" applyProtection="1">
      <alignment horizontal="right"/>
      <protection hidden="1"/>
    </xf>
    <xf numFmtId="3" fontId="42" fillId="3" borderId="1" xfId="49" applyNumberFormat="1" applyFont="1" applyFill="1" applyBorder="1" applyAlignment="1">
      <alignment horizontal="center"/>
    </xf>
    <xf numFmtId="0" fontId="22" fillId="0" borderId="0" xfId="0" applyFont="1"/>
    <xf numFmtId="4" fontId="30" fillId="3" borderId="2" xfId="49" applyNumberFormat="1" applyFont="1" applyFill="1" applyBorder="1" applyAlignment="1">
      <alignment horizontal="center"/>
    </xf>
    <xf numFmtId="14" fontId="28" fillId="3" borderId="0" xfId="49" applyNumberFormat="1" applyFont="1" applyFill="1"/>
    <xf numFmtId="170" fontId="42" fillId="3" borderId="1" xfId="49" applyNumberFormat="1" applyFont="1" applyFill="1" applyBorder="1" applyAlignment="1">
      <alignment horizontal="center"/>
    </xf>
    <xf numFmtId="179" fontId="41" fillId="12" borderId="9" xfId="75" applyNumberFormat="1" applyFont="1" applyFill="1" applyBorder="1" applyAlignment="1" applyProtection="1">
      <alignment vertical="top" wrapText="1"/>
      <protection locked="0"/>
    </xf>
    <xf numFmtId="1" fontId="32" fillId="3" borderId="0" xfId="49" applyNumberFormat="1" applyFont="1" applyFill="1" applyAlignment="1">
      <alignment horizontal="center" vertical="center"/>
    </xf>
    <xf numFmtId="2" fontId="42" fillId="13" borderId="14" xfId="49" applyNumberFormat="1" applyFont="1" applyFill="1" applyBorder="1" applyAlignment="1">
      <alignment horizontal="center"/>
    </xf>
    <xf numFmtId="0" fontId="42" fillId="0" borderId="36" xfId="49" applyFont="1" applyBorder="1"/>
    <xf numFmtId="0" fontId="43" fillId="0" borderId="38" xfId="49" applyFont="1" applyBorder="1" applyAlignment="1">
      <alignment horizontal="center"/>
    </xf>
    <xf numFmtId="10" fontId="42" fillId="0" borderId="38" xfId="49" applyNumberFormat="1" applyFont="1" applyBorder="1" applyAlignment="1">
      <alignment horizontal="center"/>
    </xf>
    <xf numFmtId="0" fontId="38" fillId="3" borderId="39" xfId="0" applyFont="1" applyFill="1" applyBorder="1"/>
    <xf numFmtId="1" fontId="42" fillId="0" borderId="40" xfId="49" applyNumberFormat="1" applyFont="1" applyBorder="1" applyAlignment="1">
      <alignment horizontal="left" vertical="center"/>
    </xf>
    <xf numFmtId="1" fontId="42" fillId="0" borderId="38" xfId="49" applyNumberFormat="1" applyFont="1" applyBorder="1" applyAlignment="1">
      <alignment horizontal="center" vertical="center"/>
    </xf>
    <xf numFmtId="0" fontId="38" fillId="0" borderId="41" xfId="0" applyFont="1" applyBorder="1"/>
    <xf numFmtId="10" fontId="43" fillId="0" borderId="43" xfId="49" applyNumberFormat="1" applyFont="1" applyBorder="1" applyAlignment="1">
      <alignment horizontal="center"/>
    </xf>
    <xf numFmtId="0" fontId="42" fillId="3" borderId="37" xfId="49" applyFont="1" applyFill="1" applyBorder="1"/>
    <xf numFmtId="10" fontId="43" fillId="0" borderId="42" xfId="49" applyNumberFormat="1" applyFont="1" applyBorder="1" applyAlignment="1">
      <alignment horizontal="center"/>
    </xf>
    <xf numFmtId="170" fontId="43" fillId="0" borderId="42" xfId="49" applyNumberFormat="1" applyFont="1" applyBorder="1" applyAlignment="1">
      <alignment horizontal="center"/>
    </xf>
    <xf numFmtId="10" fontId="43" fillId="0" borderId="44" xfId="49" applyNumberFormat="1" applyFont="1" applyBorder="1" applyAlignment="1">
      <alignment horizontal="center"/>
    </xf>
    <xf numFmtId="172" fontId="43" fillId="0" borderId="44" xfId="49" applyNumberFormat="1" applyFont="1" applyBorder="1" applyAlignment="1">
      <alignment horizontal="center"/>
    </xf>
    <xf numFmtId="14" fontId="47" fillId="3" borderId="0" xfId="49" applyNumberFormat="1" applyFont="1" applyFill="1" applyAlignment="1">
      <alignment horizontal="center"/>
    </xf>
    <xf numFmtId="0" fontId="0" fillId="0" borderId="1" xfId="0" applyBorder="1"/>
    <xf numFmtId="0" fontId="20" fillId="11" borderId="1" xfId="0" applyFont="1" applyFill="1" applyBorder="1" applyAlignment="1">
      <alignment horizontal="center"/>
    </xf>
    <xf numFmtId="2" fontId="3" fillId="0" borderId="13" xfId="49" applyNumberFormat="1" applyBorder="1"/>
    <xf numFmtId="168" fontId="3" fillId="0" borderId="13" xfId="49" applyNumberFormat="1" applyBorder="1"/>
    <xf numFmtId="180" fontId="3" fillId="0" borderId="1" xfId="49" applyNumberFormat="1" applyBorder="1"/>
    <xf numFmtId="0" fontId="0" fillId="0" borderId="1" xfId="0" applyBorder="1" applyAlignment="1">
      <alignment vertical="center"/>
    </xf>
    <xf numFmtId="2" fontId="0" fillId="11" borderId="0" xfId="0" applyNumberFormat="1" applyFill="1" applyProtection="1">
      <protection hidden="1"/>
    </xf>
    <xf numFmtId="167" fontId="0" fillId="11" borderId="0" xfId="0" applyNumberFormat="1" applyFill="1" applyProtection="1">
      <protection hidden="1"/>
    </xf>
    <xf numFmtId="0" fontId="2" fillId="11" borderId="25" xfId="49" applyFont="1" applyFill="1" applyBorder="1" applyAlignment="1">
      <alignment horizontal="center"/>
    </xf>
    <xf numFmtId="0" fontId="7" fillId="0" borderId="35" xfId="49" applyFont="1" applyBorder="1" applyAlignment="1">
      <alignment horizontal="center"/>
    </xf>
    <xf numFmtId="0" fontId="7" fillId="0" borderId="0" xfId="49" applyFont="1" applyAlignment="1">
      <alignment horizontal="center"/>
    </xf>
    <xf numFmtId="0" fontId="7" fillId="3" borderId="0" xfId="49" applyFont="1" applyFill="1" applyAlignment="1">
      <alignment horizontal="center"/>
    </xf>
    <xf numFmtId="0" fontId="33" fillId="8" borderId="14" xfId="0" applyFont="1" applyFill="1" applyBorder="1" applyAlignment="1">
      <alignment horizontal="left" vertical="center"/>
    </xf>
    <xf numFmtId="0" fontId="33" fillId="8" borderId="20" xfId="0" applyFont="1" applyFill="1" applyBorder="1" applyAlignment="1">
      <alignment horizontal="left" vertical="center"/>
    </xf>
    <xf numFmtId="0" fontId="33" fillId="8" borderId="31" xfId="0" applyFont="1" applyFill="1" applyBorder="1" applyAlignment="1">
      <alignment horizontal="left" vertical="center"/>
    </xf>
    <xf numFmtId="0" fontId="15" fillId="9" borderId="8" xfId="49" applyFont="1" applyFill="1" applyBorder="1" applyAlignment="1" applyProtection="1">
      <alignment horizontal="center" vertical="center"/>
      <protection locked="0"/>
    </xf>
    <xf numFmtId="0" fontId="15" fillId="9" borderId="26" xfId="49" applyFont="1" applyFill="1" applyBorder="1" applyAlignment="1" applyProtection="1">
      <alignment horizontal="center" vertical="center"/>
      <protection locked="0"/>
    </xf>
    <xf numFmtId="10" fontId="39" fillId="4" borderId="0" xfId="49" applyNumberFormat="1" applyFont="1" applyFill="1" applyAlignment="1">
      <alignment horizontal="center" vertical="center" wrapText="1"/>
    </xf>
    <xf numFmtId="10" fontId="39" fillId="4" borderId="25" xfId="49" applyNumberFormat="1" applyFont="1" applyFill="1" applyBorder="1" applyAlignment="1">
      <alignment horizontal="center" vertical="center" wrapText="1"/>
    </xf>
    <xf numFmtId="181" fontId="25" fillId="5" borderId="29" xfId="49" applyNumberFormat="1" applyFont="1" applyFill="1" applyBorder="1" applyAlignment="1">
      <alignment horizontal="center" vertical="center"/>
    </xf>
    <xf numFmtId="181" fontId="25" fillId="5" borderId="30" xfId="49" applyNumberFormat="1" applyFont="1" applyFill="1" applyBorder="1" applyAlignment="1">
      <alignment horizontal="center" vertical="center"/>
    </xf>
    <xf numFmtId="0" fontId="46" fillId="11" borderId="32" xfId="0" applyFont="1" applyFill="1" applyBorder="1" applyAlignment="1">
      <alignment horizontal="center" vertical="center"/>
    </xf>
    <xf numFmtId="0" fontId="44" fillId="11" borderId="33" xfId="0" applyFont="1" applyFill="1" applyBorder="1" applyAlignment="1">
      <alignment horizontal="center" vertical="center"/>
    </xf>
    <xf numFmtId="0" fontId="44" fillId="11" borderId="34" xfId="0" applyFont="1" applyFill="1" applyBorder="1" applyAlignment="1">
      <alignment horizontal="center" vertical="center"/>
    </xf>
    <xf numFmtId="0" fontId="33" fillId="6" borderId="14" xfId="0" applyFont="1" applyFill="1" applyBorder="1" applyAlignment="1">
      <alignment horizontal="left"/>
    </xf>
    <xf numFmtId="0" fontId="33" fillId="6" borderId="20" xfId="0" applyFont="1" applyFill="1" applyBorder="1" applyAlignment="1">
      <alignment horizontal="left"/>
    </xf>
    <xf numFmtId="0" fontId="33" fillId="6" borderId="15" xfId="0" applyFont="1" applyFill="1" applyBorder="1" applyAlignment="1">
      <alignment horizontal="left"/>
    </xf>
    <xf numFmtId="0" fontId="33" fillId="6" borderId="6" xfId="0" applyFont="1" applyFill="1" applyBorder="1" applyAlignment="1">
      <alignment horizontal="left"/>
    </xf>
    <xf numFmtId="0" fontId="33" fillId="6" borderId="1" xfId="0" applyFont="1" applyFill="1" applyBorder="1" applyAlignment="1">
      <alignment horizontal="left"/>
    </xf>
    <xf numFmtId="167" fontId="3" fillId="3" borderId="0" xfId="72" applyNumberFormat="1" applyFont="1" applyFill="1" applyAlignment="1" applyProtection="1">
      <alignment horizontal="left"/>
    </xf>
    <xf numFmtId="4" fontId="15" fillId="0" borderId="1" xfId="49" applyNumberFormat="1" applyFont="1" applyBorder="1" applyAlignment="1">
      <alignment horizontal="center"/>
    </xf>
    <xf numFmtId="4" fontId="15" fillId="0" borderId="16" xfId="49" applyNumberFormat="1" applyFont="1" applyBorder="1" applyAlignment="1">
      <alignment horizontal="center"/>
    </xf>
    <xf numFmtId="4" fontId="15" fillId="0" borderId="24" xfId="49" applyNumberFormat="1" applyFont="1" applyBorder="1" applyAlignment="1">
      <alignment horizontal="center"/>
    </xf>
    <xf numFmtId="169" fontId="8" fillId="2" borderId="27" xfId="49" applyNumberFormat="1" applyFont="1" applyFill="1" applyBorder="1" applyAlignment="1">
      <alignment horizontal="right" vertical="center"/>
    </xf>
    <xf numFmtId="169" fontId="8" fillId="2" borderId="22" xfId="49" applyNumberFormat="1" applyFont="1" applyFill="1" applyBorder="1" applyAlignment="1">
      <alignment horizontal="right" vertical="center"/>
    </xf>
    <xf numFmtId="0" fontId="8" fillId="2" borderId="27" xfId="49" applyFont="1" applyFill="1" applyBorder="1" applyAlignment="1">
      <alignment horizontal="left" vertical="center"/>
    </xf>
    <xf numFmtId="0" fontId="8" fillId="2" borderId="21" xfId="49" applyFont="1" applyFill="1" applyBorder="1" applyAlignment="1">
      <alignment horizontal="left" vertical="center"/>
    </xf>
    <xf numFmtId="4" fontId="15" fillId="0" borderId="13" xfId="49" applyNumberFormat="1" applyFont="1" applyBorder="1" applyAlignment="1">
      <alignment horizontal="center"/>
    </xf>
    <xf numFmtId="4" fontId="15" fillId="0" borderId="45" xfId="49" applyNumberFormat="1" applyFont="1" applyBorder="1" applyAlignment="1">
      <alignment horizontal="center"/>
    </xf>
    <xf numFmtId="0" fontId="31" fillId="0" borderId="14" xfId="0" applyFont="1" applyBorder="1" applyAlignment="1">
      <alignment horizontal="left"/>
    </xf>
    <xf numFmtId="0" fontId="31" fillId="0" borderId="17" xfId="0" applyFont="1" applyBorder="1" applyAlignment="1">
      <alignment horizontal="left"/>
    </xf>
    <xf numFmtId="0" fontId="12" fillId="5" borderId="27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166" fontId="15" fillId="5" borderId="27" xfId="49" applyNumberFormat="1" applyFont="1" applyFill="1" applyBorder="1" applyAlignment="1">
      <alignment horizontal="center" vertical="center" wrapText="1"/>
    </xf>
    <xf numFmtId="166" fontId="15" fillId="5" borderId="22" xfId="49" applyNumberFormat="1" applyFont="1" applyFill="1" applyBorder="1" applyAlignment="1">
      <alignment horizontal="center" vertical="center" wrapText="1"/>
    </xf>
    <xf numFmtId="0" fontId="33" fillId="2" borderId="15" xfId="0" applyFont="1" applyFill="1" applyBorder="1" applyAlignment="1">
      <alignment horizontal="left"/>
    </xf>
    <xf numFmtId="0" fontId="33" fillId="2" borderId="6" xfId="0" applyFont="1" applyFill="1" applyBorder="1" applyAlignment="1">
      <alignment horizontal="left"/>
    </xf>
    <xf numFmtId="0" fontId="33" fillId="2" borderId="3" xfId="0" applyFont="1" applyFill="1" applyBorder="1" applyAlignment="1">
      <alignment horizontal="left"/>
    </xf>
    <xf numFmtId="0" fontId="40" fillId="2" borderId="15" xfId="0" applyFont="1" applyFill="1" applyBorder="1" applyAlignment="1">
      <alignment horizontal="center" vertical="center" wrapText="1"/>
    </xf>
    <xf numFmtId="0" fontId="40" fillId="2" borderId="3" xfId="0" applyFont="1" applyFill="1" applyBorder="1" applyAlignment="1">
      <alignment horizontal="center" vertical="center" wrapText="1"/>
    </xf>
    <xf numFmtId="0" fontId="33" fillId="6" borderId="3" xfId="0" applyFont="1" applyFill="1" applyBorder="1" applyAlignment="1">
      <alignment horizontal="left"/>
    </xf>
    <xf numFmtId="0" fontId="20" fillId="11" borderId="1" xfId="0" applyFont="1" applyFill="1" applyBorder="1" applyAlignment="1">
      <alignment horizontal="center"/>
    </xf>
    <xf numFmtId="0" fontId="0" fillId="0" borderId="46" xfId="0" applyBorder="1" applyAlignment="1">
      <alignment horizontal="left" vertical="top" wrapText="1"/>
    </xf>
    <xf numFmtId="0" fontId="0" fillId="0" borderId="47" xfId="0" applyBorder="1" applyAlignment="1">
      <alignment horizontal="left" vertical="top"/>
    </xf>
    <xf numFmtId="0" fontId="0" fillId="0" borderId="48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20" fillId="0" borderId="15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center" vertical="top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167" fontId="3" fillId="0" borderId="0" xfId="72" applyNumberFormat="1" applyFont="1" applyFill="1" applyAlignment="1" applyProtection="1">
      <alignment horizontal="left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166" fontId="15" fillId="0" borderId="27" xfId="49" applyNumberFormat="1" applyFont="1" applyBorder="1" applyAlignment="1">
      <alignment horizontal="center" vertical="center" wrapText="1"/>
    </xf>
    <xf numFmtId="166" fontId="15" fillId="0" borderId="22" xfId="49" applyNumberFormat="1" applyFont="1" applyBorder="1" applyAlignment="1">
      <alignment horizontal="center" vertical="center" wrapText="1"/>
    </xf>
    <xf numFmtId="166" fontId="15" fillId="0" borderId="19" xfId="49" applyNumberFormat="1" applyFont="1" applyBorder="1" applyAlignment="1">
      <alignment horizontal="center" vertical="center" wrapText="1"/>
    </xf>
    <xf numFmtId="166" fontId="15" fillId="0" borderId="23" xfId="49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23" fillId="0" borderId="15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</cellXfs>
  <cellStyles count="80">
    <cellStyle name="Відсотковий" xfId="50" builtinId="5"/>
    <cellStyle name="Денежный 2" xfId="1" xr:uid="{00000000-0005-0000-0000-000000000000}"/>
    <cellStyle name="Звичайний" xfId="0" builtinId="0"/>
    <cellStyle name="Обычный 17" xfId="2" xr:uid="{00000000-0005-0000-0000-000002000000}"/>
    <cellStyle name="Обычный 17 2" xfId="3" xr:uid="{00000000-0005-0000-0000-000003000000}"/>
    <cellStyle name="Обычный 2" xfId="4" xr:uid="{00000000-0005-0000-0000-000004000000}"/>
    <cellStyle name="Обычный 2 10" xfId="5" xr:uid="{00000000-0005-0000-0000-000005000000}"/>
    <cellStyle name="Обычный 2 10 2" xfId="6" xr:uid="{00000000-0005-0000-0000-000006000000}"/>
    <cellStyle name="Обычный 2 11" xfId="7" xr:uid="{00000000-0005-0000-0000-000007000000}"/>
    <cellStyle name="Обычный 2 11 2" xfId="8" xr:uid="{00000000-0005-0000-0000-000008000000}"/>
    <cellStyle name="Обычный 2 12" xfId="9" xr:uid="{00000000-0005-0000-0000-000009000000}"/>
    <cellStyle name="Обычный 2 12 2" xfId="10" xr:uid="{00000000-0005-0000-0000-00000A000000}"/>
    <cellStyle name="Обычный 2 13" xfId="11" xr:uid="{00000000-0005-0000-0000-00000B000000}"/>
    <cellStyle name="Обычный 2 13 2" xfId="12" xr:uid="{00000000-0005-0000-0000-00000C000000}"/>
    <cellStyle name="Обычный 2 14" xfId="13" xr:uid="{00000000-0005-0000-0000-00000D000000}"/>
    <cellStyle name="Обычный 2 14 2" xfId="14" xr:uid="{00000000-0005-0000-0000-00000E000000}"/>
    <cellStyle name="Обычный 2 15" xfId="15" xr:uid="{00000000-0005-0000-0000-00000F000000}"/>
    <cellStyle name="Обычный 2 15 2" xfId="16" xr:uid="{00000000-0005-0000-0000-000010000000}"/>
    <cellStyle name="Обычный 2 16" xfId="17" xr:uid="{00000000-0005-0000-0000-000011000000}"/>
    <cellStyle name="Обычный 2 16 2" xfId="18" xr:uid="{00000000-0005-0000-0000-000012000000}"/>
    <cellStyle name="Обычный 2 17" xfId="19" xr:uid="{00000000-0005-0000-0000-000013000000}"/>
    <cellStyle name="Обычный 2 17 2" xfId="20" xr:uid="{00000000-0005-0000-0000-000014000000}"/>
    <cellStyle name="Обычный 2 18" xfId="21" xr:uid="{00000000-0005-0000-0000-000015000000}"/>
    <cellStyle name="Обычный 2 18 2" xfId="22" xr:uid="{00000000-0005-0000-0000-000016000000}"/>
    <cellStyle name="Обычный 2 19" xfId="23" xr:uid="{00000000-0005-0000-0000-000017000000}"/>
    <cellStyle name="Обычный 2 19 2" xfId="24" xr:uid="{00000000-0005-0000-0000-000018000000}"/>
    <cellStyle name="Обычный 2 2" xfId="25" xr:uid="{00000000-0005-0000-0000-000019000000}"/>
    <cellStyle name="Обычный 2 2 2" xfId="26" xr:uid="{00000000-0005-0000-0000-00001A000000}"/>
    <cellStyle name="Обычный 2 20" xfId="27" xr:uid="{00000000-0005-0000-0000-00001B000000}"/>
    <cellStyle name="Обычный 2 20 2" xfId="28" xr:uid="{00000000-0005-0000-0000-00001C000000}"/>
    <cellStyle name="Обычный 2 21" xfId="29" xr:uid="{00000000-0005-0000-0000-00001D000000}"/>
    <cellStyle name="Обычный 2 21 2" xfId="30" xr:uid="{00000000-0005-0000-0000-00001E000000}"/>
    <cellStyle name="Обычный 2 3" xfId="31" xr:uid="{00000000-0005-0000-0000-00001F000000}"/>
    <cellStyle name="Обычный 2 3 2" xfId="32" xr:uid="{00000000-0005-0000-0000-000020000000}"/>
    <cellStyle name="Обычный 2 4" xfId="33" xr:uid="{00000000-0005-0000-0000-000021000000}"/>
    <cellStyle name="Обычный 2 4 2" xfId="34" xr:uid="{00000000-0005-0000-0000-000022000000}"/>
    <cellStyle name="Обычный 2 5" xfId="35" xr:uid="{00000000-0005-0000-0000-000023000000}"/>
    <cellStyle name="Обычный 2 5 2" xfId="36" xr:uid="{00000000-0005-0000-0000-000024000000}"/>
    <cellStyle name="Обычный 2 6" xfId="37" xr:uid="{00000000-0005-0000-0000-000025000000}"/>
    <cellStyle name="Обычный 2 6 2" xfId="38" xr:uid="{00000000-0005-0000-0000-000026000000}"/>
    <cellStyle name="Обычный 2 7" xfId="39" xr:uid="{00000000-0005-0000-0000-000027000000}"/>
    <cellStyle name="Обычный 2 7 2" xfId="40" xr:uid="{00000000-0005-0000-0000-000028000000}"/>
    <cellStyle name="Обычный 2 8" xfId="41" xr:uid="{00000000-0005-0000-0000-000029000000}"/>
    <cellStyle name="Обычный 2 8 2" xfId="42" xr:uid="{00000000-0005-0000-0000-00002A000000}"/>
    <cellStyle name="Обычный 2 9" xfId="43" xr:uid="{00000000-0005-0000-0000-00002B000000}"/>
    <cellStyle name="Обычный 2 9 2" xfId="44" xr:uid="{00000000-0005-0000-0000-00002C000000}"/>
    <cellStyle name="Обычный 3" xfId="45" xr:uid="{00000000-0005-0000-0000-00002D000000}"/>
    <cellStyle name="Обычный 3 2" xfId="46" xr:uid="{00000000-0005-0000-0000-00002E000000}"/>
    <cellStyle name="Обычный 4" xfId="47" xr:uid="{00000000-0005-0000-0000-00002F000000}"/>
    <cellStyle name="Обычный 5" xfId="48" xr:uid="{00000000-0005-0000-0000-000030000000}"/>
    <cellStyle name="Обычный_Nedootrumani_dohodu" xfId="49" xr:uid="{00000000-0005-0000-0000-000031000000}"/>
    <cellStyle name="Процентный 2" xfId="51" xr:uid="{00000000-0005-0000-0000-000033000000}"/>
    <cellStyle name="Процентный 2 10" xfId="52" xr:uid="{00000000-0005-0000-0000-000034000000}"/>
    <cellStyle name="Процентный 2 11" xfId="53" xr:uid="{00000000-0005-0000-0000-000035000000}"/>
    <cellStyle name="Процентный 2 12" xfId="54" xr:uid="{00000000-0005-0000-0000-000036000000}"/>
    <cellStyle name="Процентный 2 13" xfId="55" xr:uid="{00000000-0005-0000-0000-000037000000}"/>
    <cellStyle name="Процентный 2 14" xfId="56" xr:uid="{00000000-0005-0000-0000-000038000000}"/>
    <cellStyle name="Процентный 2 15" xfId="57" xr:uid="{00000000-0005-0000-0000-000039000000}"/>
    <cellStyle name="Процентный 2 16" xfId="58" xr:uid="{00000000-0005-0000-0000-00003A000000}"/>
    <cellStyle name="Процентный 2 17" xfId="59" xr:uid="{00000000-0005-0000-0000-00003B000000}"/>
    <cellStyle name="Процентный 2 18" xfId="60" xr:uid="{00000000-0005-0000-0000-00003C000000}"/>
    <cellStyle name="Процентный 2 19" xfId="61" xr:uid="{00000000-0005-0000-0000-00003D000000}"/>
    <cellStyle name="Процентный 2 2" xfId="62" xr:uid="{00000000-0005-0000-0000-00003E000000}"/>
    <cellStyle name="Процентный 2 20" xfId="63" xr:uid="{00000000-0005-0000-0000-00003F000000}"/>
    <cellStyle name="Процентный 2 21" xfId="64" xr:uid="{00000000-0005-0000-0000-000040000000}"/>
    <cellStyle name="Процентный 2 3" xfId="65" xr:uid="{00000000-0005-0000-0000-000041000000}"/>
    <cellStyle name="Процентный 2 4" xfId="66" xr:uid="{00000000-0005-0000-0000-000042000000}"/>
    <cellStyle name="Процентный 2 5" xfId="67" xr:uid="{00000000-0005-0000-0000-000043000000}"/>
    <cellStyle name="Процентный 2 6" xfId="68" xr:uid="{00000000-0005-0000-0000-000044000000}"/>
    <cellStyle name="Процентный 2 7" xfId="69" xr:uid="{00000000-0005-0000-0000-000045000000}"/>
    <cellStyle name="Процентный 2 8" xfId="70" xr:uid="{00000000-0005-0000-0000-000046000000}"/>
    <cellStyle name="Процентный 2 9" xfId="71" xr:uid="{00000000-0005-0000-0000-000047000000}"/>
    <cellStyle name="Процентный 3" xfId="72" xr:uid="{00000000-0005-0000-0000-000048000000}"/>
    <cellStyle name="Процентный 3 2" xfId="73" xr:uid="{00000000-0005-0000-0000-000049000000}"/>
    <cellStyle name="Процентный 4" xfId="74" xr:uid="{00000000-0005-0000-0000-00004A000000}"/>
    <cellStyle name="Финансовый 2" xfId="76" xr:uid="{00000000-0005-0000-0000-00004C000000}"/>
    <cellStyle name="Финансовый 2 2" xfId="77" xr:uid="{00000000-0005-0000-0000-00004D000000}"/>
    <cellStyle name="Финансовый 3" xfId="78" xr:uid="{00000000-0005-0000-0000-00004E000000}"/>
    <cellStyle name="Финансовый 4" xfId="79" xr:uid="{00000000-0005-0000-0000-00004F000000}"/>
    <cellStyle name="Фінансовий" xfId="7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ideabank.com.ua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I-Shop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28575</xdr:rowOff>
    </xdr:from>
    <xdr:to>
      <xdr:col>3</xdr:col>
      <xdr:colOff>962025</xdr:colOff>
      <xdr:row>3</xdr:row>
      <xdr:rowOff>95250</xdr:rowOff>
    </xdr:to>
    <xdr:pic>
      <xdr:nvPicPr>
        <xdr:cNvPr id="4098" name="Picture 1">
          <a:hlinkClick xmlns:r="http://schemas.openxmlformats.org/officeDocument/2006/relationships" r:id="rId1" tooltip="IdeaBank"/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" y="28575"/>
          <a:ext cx="22669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5311140</xdr:colOff>
      <xdr:row>0</xdr:row>
      <xdr:rowOff>53340</xdr:rowOff>
    </xdr:from>
    <xdr:to>
      <xdr:col>4</xdr:col>
      <xdr:colOff>6812280</xdr:colOff>
      <xdr:row>3</xdr:row>
      <xdr:rowOff>114300</xdr:rowOff>
    </xdr:to>
    <xdr:sp macro="" textlink="">
      <xdr:nvSpPr>
        <xdr:cNvPr id="2" name="Блок-схема: альтернативный процесс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121140" y="53340"/>
          <a:ext cx="1501140" cy="563880"/>
        </a:xfrm>
        <a:prstGeom prst="flowChartAlternateProcess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uk-UA" sz="1100" b="1" cap="none" spc="0">
              <a:ln>
                <a:noFill/>
              </a:ln>
              <a:solidFill>
                <a:schemeClr val="bg1"/>
              </a:solidFill>
              <a:effectLst/>
            </a:rPr>
            <a:t>Повернутись до калькулятора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S107"/>
  <sheetViews>
    <sheetView tabSelected="1" view="pageBreakPreview" zoomScale="130" zoomScaleNormal="70" zoomScaleSheetLayoutView="130" workbookViewId="0">
      <pane ySplit="4" topLeftCell="A5" activePane="bottomLeft" state="frozen"/>
      <selection activeCell="F4" sqref="F4"/>
      <selection pane="bottomLeft" activeCell="H2" sqref="H2:I2"/>
    </sheetView>
  </sheetViews>
  <sheetFormatPr defaultColWidth="9.140625" defaultRowHeight="12.75" outlineLevelRow="1" outlineLevelCol="1" x14ac:dyDescent="0.2"/>
  <cols>
    <col min="1" max="1" width="2.42578125" style="7" customWidth="1"/>
    <col min="2" max="2" width="7.140625" style="4" customWidth="1"/>
    <col min="3" max="3" width="10.140625" style="4" bestFit="1" customWidth="1"/>
    <col min="4" max="4" width="15" style="4" bestFit="1" customWidth="1"/>
    <col min="5" max="5" width="31" style="4" customWidth="1"/>
    <col min="6" max="6" width="15.7109375" style="4" customWidth="1"/>
    <col min="7" max="7" width="11.140625" style="34" customWidth="1"/>
    <col min="8" max="8" width="10.140625" style="28" customWidth="1"/>
    <col min="9" max="9" width="14.7109375" customWidth="1"/>
    <col min="10" max="10" width="17.28515625" style="3" hidden="1" customWidth="1"/>
    <col min="11" max="11" width="12.5703125" style="4" hidden="1" customWidth="1" outlineLevel="1"/>
    <col min="12" max="12" width="9.42578125" style="4" hidden="1" customWidth="1" outlineLevel="1"/>
    <col min="13" max="13" width="16.42578125" style="4" hidden="1" customWidth="1" outlineLevel="1"/>
    <col min="14" max="16" width="14.85546875" style="4" hidden="1" customWidth="1" outlineLevel="1"/>
    <col min="17" max="25" width="13.5703125" style="4" hidden="1" customWidth="1" outlineLevel="1"/>
    <col min="26" max="26" width="7.42578125" style="4" hidden="1" customWidth="1" outlineLevel="1"/>
    <col min="27" max="27" width="9.140625" style="4" hidden="1" customWidth="1" outlineLevel="1"/>
    <col min="28" max="28" width="5.7109375" style="4" hidden="1" customWidth="1" outlineLevel="1"/>
    <col min="29" max="29" width="9.140625" style="97" hidden="1" customWidth="1" collapsed="1"/>
    <col min="30" max="45" width="9.140625" style="97"/>
    <col min="46" max="16384" width="9.140625" style="4"/>
  </cols>
  <sheetData>
    <row r="1" spans="1:45" ht="13.5" thickBot="1" x14ac:dyDescent="0.25">
      <c r="A1" s="43"/>
      <c r="B1" s="88"/>
      <c r="C1" s="88"/>
      <c r="D1" s="88"/>
      <c r="E1" s="88"/>
      <c r="F1" s="88"/>
      <c r="G1" s="89"/>
      <c r="H1" s="186" t="s">
        <v>48</v>
      </c>
      <c r="I1" s="186"/>
    </row>
    <row r="2" spans="1:45" ht="12.75" customHeight="1" x14ac:dyDescent="0.2">
      <c r="A2" s="2"/>
      <c r="B2" s="88"/>
      <c r="C2" s="88"/>
      <c r="D2" s="88"/>
      <c r="E2" s="109">
        <f>VLOOKUP('NST Ідея_0-9-24'!H2,Лист2!A:P,16,FALSE)</f>
        <v>943.39599999999996</v>
      </c>
      <c r="F2" s="132">
        <f>VLOOKUP(H$2,Лист2!$A:$H,8,0)</f>
        <v>99999.997199999998</v>
      </c>
      <c r="G2" s="177">
        <f ca="1">TODAY()</f>
        <v>45855</v>
      </c>
      <c r="H2" s="193" t="s">
        <v>160</v>
      </c>
      <c r="I2" s="194"/>
      <c r="J2" s="35"/>
    </row>
    <row r="3" spans="1:45" ht="13.7" customHeight="1" thickBot="1" x14ac:dyDescent="0.25">
      <c r="A3" s="2"/>
      <c r="B3" s="88"/>
      <c r="C3" s="88"/>
      <c r="D3" s="88"/>
      <c r="E3" s="110">
        <f>IF(F7&lt;E2,"x",IF(F7&gt;F2,"y",F7))</f>
        <v>99999.997199999998</v>
      </c>
      <c r="F3" s="195" t="str">
        <f>IF(E3="x","Збільшіть суму",IF(E3="y","Зменшіть суму",""))</f>
        <v/>
      </c>
      <c r="G3" s="133">
        <f>Назви!B32</f>
        <v>30.4</v>
      </c>
      <c r="H3" s="197">
        <v>94339.62</v>
      </c>
      <c r="I3" s="198"/>
      <c r="J3" s="35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45" ht="9" customHeight="1" thickBot="1" x14ac:dyDescent="0.25">
      <c r="A4" s="2"/>
      <c r="B4" s="42"/>
      <c r="C4" s="42"/>
      <c r="D4" s="42"/>
      <c r="E4" s="119"/>
      <c r="F4" s="196"/>
      <c r="G4" s="112"/>
      <c r="H4" s="162"/>
      <c r="I4" s="120"/>
      <c r="J4" s="35"/>
      <c r="AA4" s="51"/>
    </row>
    <row r="5" spans="1:45" ht="21" thickBot="1" x14ac:dyDescent="0.25">
      <c r="A5" s="1"/>
      <c r="B5" s="199" t="s">
        <v>42</v>
      </c>
      <c r="C5" s="200"/>
      <c r="D5" s="200"/>
      <c r="E5" s="201"/>
      <c r="F5" s="161">
        <v>94339.62</v>
      </c>
      <c r="G5" s="168" t="s">
        <v>27</v>
      </c>
      <c r="H5" s="169"/>
      <c r="I5" s="120"/>
      <c r="J5" s="36"/>
      <c r="K5" s="37"/>
      <c r="L5" s="37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AA5" s="51"/>
    </row>
    <row r="6" spans="1:45" ht="5.45" customHeight="1" x14ac:dyDescent="0.2">
      <c r="A6" s="188"/>
      <c r="B6" s="188"/>
      <c r="C6" s="188"/>
      <c r="D6" s="188"/>
      <c r="E6" s="188"/>
      <c r="F6" s="188"/>
      <c r="G6" s="188"/>
      <c r="H6" s="188"/>
      <c r="I6" s="170"/>
      <c r="J6" s="157"/>
      <c r="K6" s="37"/>
      <c r="L6" s="37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AA6" s="51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</row>
    <row r="7" spans="1:45" x14ac:dyDescent="0.2">
      <c r="A7" s="1"/>
      <c r="B7" s="190" t="s">
        <v>43</v>
      </c>
      <c r="C7" s="191"/>
      <c r="D7" s="191"/>
      <c r="E7" s="192"/>
      <c r="F7" s="163">
        <f>F5+F5*F11+F15+F5*F17</f>
        <v>99999.997199999998</v>
      </c>
      <c r="G7" s="164"/>
      <c r="H7" s="165"/>
      <c r="I7" s="42"/>
      <c r="J7" s="4"/>
      <c r="K7" s="37"/>
      <c r="L7" s="51" t="str">
        <f>Лист2!A4</f>
        <v>NST Ідея_0-9-24</v>
      </c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AA7" s="51"/>
    </row>
    <row r="8" spans="1:45" ht="6" customHeight="1" x14ac:dyDescent="0.2">
      <c r="A8" s="187"/>
      <c r="B8" s="187"/>
      <c r="C8" s="187"/>
      <c r="D8" s="187"/>
      <c r="E8" s="187"/>
      <c r="F8" s="188"/>
      <c r="G8" s="187"/>
      <c r="H8" s="187"/>
      <c r="I8" s="187"/>
      <c r="J8" s="4"/>
      <c r="K8" s="37"/>
      <c r="L8" s="51" t="e">
        <f>Лист2!#REF!</f>
        <v>#REF!</v>
      </c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AA8" s="51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</row>
    <row r="9" spans="1:45" x14ac:dyDescent="0.2">
      <c r="A9" s="1"/>
      <c r="B9" s="202" t="str">
        <f>Назви!A3</f>
        <v>Процентна ставка, % річних</v>
      </c>
      <c r="C9" s="203">
        <f>Назви!B3</f>
        <v>0</v>
      </c>
      <c r="D9" s="203">
        <f>Назви!C3</f>
        <v>0</v>
      </c>
      <c r="E9" s="203">
        <f>Назви!D3</f>
        <v>0</v>
      </c>
      <c r="F9" s="134">
        <f>VLOOKUP(H$2,Лист2!$A:$G,4,0)</f>
        <v>1E-4</v>
      </c>
      <c r="G9" s="171"/>
      <c r="H9" s="166"/>
      <c r="I9" s="167"/>
      <c r="K9" s="37"/>
      <c r="L9" s="51" t="e">
        <f>Лист2!#REF!</f>
        <v>#REF!</v>
      </c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AA9" s="51"/>
    </row>
    <row r="10" spans="1:45" ht="6.6" customHeight="1" x14ac:dyDescent="0.2">
      <c r="A10" s="1"/>
      <c r="B10" s="135"/>
      <c r="C10" s="136"/>
      <c r="D10" s="135"/>
      <c r="E10" s="136"/>
      <c r="F10" s="137"/>
      <c r="G10" s="172"/>
      <c r="H10" s="139"/>
      <c r="I10" s="150"/>
      <c r="J10" s="4"/>
      <c r="K10" s="37"/>
      <c r="L10" s="51" t="e">
        <f>Лист2!#REF!</f>
        <v>#REF!</v>
      </c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AA10" s="51"/>
    </row>
    <row r="11" spans="1:45" ht="13.7" customHeight="1" x14ac:dyDescent="0.2">
      <c r="A11" s="1"/>
      <c r="B11" s="204" t="str">
        <f>Назви!A5</f>
        <v>Разовий страховий тариф, %</v>
      </c>
      <c r="C11" s="205">
        <f>Назви!B5</f>
        <v>0</v>
      </c>
      <c r="D11" s="205">
        <f>Назви!C5</f>
        <v>0</v>
      </c>
      <c r="E11" s="205">
        <f>Назви!D5</f>
        <v>0</v>
      </c>
      <c r="F11" s="134">
        <f>VLOOKUP(H$2,Лист2!$A:$G,5,0)</f>
        <v>0</v>
      </c>
      <c r="G11" s="175"/>
      <c r="H11" s="173"/>
      <c r="I11" s="120"/>
      <c r="K11" s="37"/>
      <c r="L11" s="51" t="e">
        <f>Лист2!#REF!</f>
        <v>#REF!</v>
      </c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AA11" s="51"/>
    </row>
    <row r="12" spans="1:45" ht="7.15" customHeight="1" x14ac:dyDescent="0.2">
      <c r="A12" s="188"/>
      <c r="B12" s="188"/>
      <c r="C12" s="188"/>
      <c r="D12" s="188"/>
      <c r="E12" s="188"/>
      <c r="F12" s="188"/>
      <c r="G12" s="188"/>
      <c r="H12" s="188"/>
      <c r="I12" s="188"/>
      <c r="J12" s="51"/>
      <c r="K12" s="37"/>
      <c r="L12" s="51" t="e">
        <f>Лист2!#REF!</f>
        <v>#REF!</v>
      </c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AA12" s="51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</row>
    <row r="13" spans="1:45" ht="13.7" customHeight="1" x14ac:dyDescent="0.2">
      <c r="A13" s="1"/>
      <c r="B13" s="206" t="s">
        <v>41</v>
      </c>
      <c r="C13" s="206"/>
      <c r="D13" s="206"/>
      <c r="E13" s="204"/>
      <c r="F13" s="140">
        <f>VLOOKUP(H$2,Лист2!$A:$J,9,0)</f>
        <v>9</v>
      </c>
      <c r="G13" s="175"/>
      <c r="H13" s="173"/>
      <c r="I13" s="120"/>
      <c r="J13" s="4"/>
      <c r="K13" s="37"/>
      <c r="L13" s="51" t="e">
        <f>Лист2!#REF!</f>
        <v>#REF!</v>
      </c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AA13" s="51"/>
    </row>
    <row r="14" spans="1:45" ht="8.4499999999999993" customHeight="1" x14ac:dyDescent="0.2">
      <c r="A14" s="189"/>
      <c r="B14" s="189"/>
      <c r="C14" s="189"/>
      <c r="D14" s="189"/>
      <c r="E14" s="189"/>
      <c r="F14" s="189"/>
      <c r="G14" s="189"/>
      <c r="H14" s="189"/>
      <c r="I14" s="189"/>
      <c r="J14" s="51"/>
      <c r="K14" s="37"/>
      <c r="L14" s="51" t="e">
        <f>Лист2!#REF!</f>
        <v>#REF!</v>
      </c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AA14" s="51"/>
    </row>
    <row r="15" spans="1:45" ht="13.7" customHeight="1" x14ac:dyDescent="0.2">
      <c r="A15" s="1"/>
      <c r="B15" s="206" t="s">
        <v>39</v>
      </c>
      <c r="C15" s="206"/>
      <c r="D15" s="206"/>
      <c r="E15" s="204"/>
      <c r="F15" s="156">
        <f>VLOOKUP(H$2,Лист2!$A:$J,10,0)</f>
        <v>0</v>
      </c>
      <c r="G15" s="175"/>
      <c r="H15" s="173"/>
      <c r="I15" s="120"/>
      <c r="J15" s="51"/>
      <c r="K15" s="37"/>
      <c r="L15" s="51" t="e">
        <f>Лист2!#REF!</f>
        <v>#REF!</v>
      </c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AA15" s="51"/>
    </row>
    <row r="16" spans="1:45" ht="6" customHeight="1" x14ac:dyDescent="0.2">
      <c r="A16" s="188"/>
      <c r="B16" s="188"/>
      <c r="C16" s="188"/>
      <c r="D16" s="188"/>
      <c r="E16" s="188"/>
      <c r="F16" s="188"/>
      <c r="G16" s="188"/>
      <c r="H16" s="188"/>
      <c r="I16" s="120"/>
      <c r="J16" s="51"/>
      <c r="K16" s="37"/>
      <c r="L16" s="51" t="e">
        <f>Лист2!#REF!</f>
        <v>#REF!</v>
      </c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AA16" s="51"/>
    </row>
    <row r="17" spans="1:45" x14ac:dyDescent="0.2">
      <c r="A17" s="1"/>
      <c r="B17" s="206" t="s">
        <v>40</v>
      </c>
      <c r="C17" s="206"/>
      <c r="D17" s="206"/>
      <c r="E17" s="206"/>
      <c r="F17" s="134">
        <f>VLOOKUP(H$2,Лист2!$A:$K,11,0)</f>
        <v>0.06</v>
      </c>
      <c r="G17" s="138"/>
      <c r="H17" s="139"/>
      <c r="I17" s="42"/>
      <c r="J17" s="51"/>
      <c r="K17" s="37"/>
      <c r="L17" s="51" t="e">
        <f>Лист2!#REF!</f>
        <v>#REF!</v>
      </c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</row>
    <row r="18" spans="1:45" ht="5.45" customHeight="1" x14ac:dyDescent="0.2">
      <c r="A18" s="188"/>
      <c r="B18" s="188"/>
      <c r="C18" s="188"/>
      <c r="D18" s="188"/>
      <c r="E18" s="188"/>
      <c r="F18" s="188"/>
      <c r="G18" s="188"/>
      <c r="H18" s="188"/>
      <c r="I18" s="38"/>
      <c r="J18" s="51"/>
      <c r="K18" s="37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</row>
    <row r="19" spans="1:45" ht="15" customHeight="1" x14ac:dyDescent="0.2">
      <c r="A19" s="1"/>
      <c r="B19" s="204" t="str">
        <f>Назви!A7</f>
        <v xml:space="preserve">Щомісячна плата за обслуговування кредитної заборгованості, % </v>
      </c>
      <c r="C19" s="205">
        <f>Назви!B7</f>
        <v>0</v>
      </c>
      <c r="D19" s="205">
        <f>Назви!C7</f>
        <v>0</v>
      </c>
      <c r="E19" s="229">
        <f>Назви!D7</f>
        <v>0</v>
      </c>
      <c r="F19" s="134">
        <f>VLOOKUP(H$2,Лист2!$A:$G,6,0)</f>
        <v>4.99E-2</v>
      </c>
      <c r="G19" s="175"/>
      <c r="H19" s="173"/>
      <c r="I19" s="120"/>
      <c r="J19" s="51"/>
      <c r="K19" s="37"/>
      <c r="L19" s="49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</row>
    <row r="20" spans="1:45" ht="6.75" customHeight="1" x14ac:dyDescent="0.2">
      <c r="A20" s="1"/>
      <c r="B20" s="135"/>
      <c r="C20" s="136"/>
      <c r="D20" s="135"/>
      <c r="E20" s="136"/>
      <c r="F20" s="137"/>
      <c r="G20" s="138"/>
      <c r="H20" s="139"/>
      <c r="I20" s="42"/>
      <c r="J20" s="51"/>
      <c r="K20" s="3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45" x14ac:dyDescent="0.2">
      <c r="A21" s="1"/>
      <c r="B21" s="204" t="str">
        <f>Назви!A9</f>
        <v>Термін кредитування (міс.)</v>
      </c>
      <c r="C21" s="205">
        <f>Назви!B9</f>
        <v>0</v>
      </c>
      <c r="D21" s="205">
        <f>Назви!C9</f>
        <v>0</v>
      </c>
      <c r="E21" s="229">
        <f>Назви!D9</f>
        <v>0</v>
      </c>
      <c r="F21" s="141">
        <f>VLOOKUP(H$2,Лист2!$A:$G,3,0)</f>
        <v>24</v>
      </c>
      <c r="G21" s="175"/>
      <c r="H21" s="173"/>
      <c r="I21" s="120"/>
      <c r="J21" s="51"/>
      <c r="K21" s="37"/>
      <c r="L21" s="48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</row>
    <row r="22" spans="1:45" s="7" customFormat="1" ht="9.75" hidden="1" customHeight="1" x14ac:dyDescent="0.2">
      <c r="A22" s="1"/>
      <c r="B22" s="102"/>
      <c r="C22" s="142"/>
      <c r="D22" s="102"/>
      <c r="E22" s="148">
        <f>F5*F11</f>
        <v>0</v>
      </c>
      <c r="F22" s="111"/>
      <c r="G22" s="138"/>
      <c r="H22" s="139"/>
      <c r="I22" s="42"/>
      <c r="J22" s="51"/>
      <c r="K22" s="37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</row>
    <row r="23" spans="1:45" s="7" customFormat="1" ht="11.25" customHeight="1" x14ac:dyDescent="0.2">
      <c r="A23" s="1"/>
      <c r="B23" s="102"/>
      <c r="C23" s="142"/>
      <c r="D23" s="102"/>
      <c r="E23" s="149">
        <f>E22+E3</f>
        <v>99999.997199999998</v>
      </c>
      <c r="F23" s="111"/>
      <c r="G23" s="138"/>
      <c r="H23" s="139"/>
      <c r="I23" s="42"/>
      <c r="J23" s="51"/>
      <c r="K23" s="37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</row>
    <row r="24" spans="1:45" s="7" customFormat="1" ht="14.25" customHeight="1" x14ac:dyDescent="0.2">
      <c r="A24" s="1"/>
      <c r="B24" s="224" t="str">
        <f>Назви!A14</f>
        <v>Орієнтовні загальні витрати за кредитом, грн.</v>
      </c>
      <c r="C24" s="225"/>
      <c r="D24" s="225"/>
      <c r="E24" s="225"/>
      <c r="F24" s="160">
        <f>G100-E3</f>
        <v>74868.865828199996</v>
      </c>
      <c r="G24" s="138"/>
      <c r="H24" s="139"/>
      <c r="I24" s="42"/>
      <c r="J24" s="51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</row>
    <row r="25" spans="1:45" s="7" customFormat="1" ht="14.25" customHeight="1" x14ac:dyDescent="0.2">
      <c r="A25" s="1"/>
      <c r="B25" s="135"/>
      <c r="C25" s="135"/>
      <c r="D25" s="135"/>
      <c r="E25" s="135"/>
      <c r="F25" s="143"/>
      <c r="G25" s="138"/>
      <c r="H25" s="139"/>
      <c r="I25" s="42"/>
      <c r="J25" s="51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</row>
    <row r="26" spans="1:45" s="7" customFormat="1" x14ac:dyDescent="0.2">
      <c r="A26" s="1"/>
      <c r="B26" s="224" t="str">
        <f>Назви!A16</f>
        <v>Орієнтовна загальна вартість кредиту, грн.</v>
      </c>
      <c r="C26" s="225">
        <f>Назви!B14</f>
        <v>0</v>
      </c>
      <c r="D26" s="225">
        <f>Назви!C14</f>
        <v>0</v>
      </c>
      <c r="E26" s="226">
        <f>Назви!D14</f>
        <v>0</v>
      </c>
      <c r="F26" s="144">
        <f>E3+F24</f>
        <v>174868.86302819999</v>
      </c>
      <c r="G26" s="176"/>
      <c r="H26" s="174"/>
      <c r="I26" s="42"/>
      <c r="J26" s="51"/>
      <c r="K26" s="37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</row>
    <row r="27" spans="1:45" s="7" customFormat="1" ht="15.75" customHeight="1" x14ac:dyDescent="0.2">
      <c r="A27" s="1"/>
      <c r="B27" s="145"/>
      <c r="C27" s="145"/>
      <c r="D27" s="145"/>
      <c r="E27" s="145"/>
      <c r="F27" s="146"/>
      <c r="G27" s="138"/>
      <c r="H27" s="139"/>
      <c r="I27" s="42"/>
      <c r="J27" s="51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</row>
    <row r="28" spans="1:45" s="7" customFormat="1" x14ac:dyDescent="0.2">
      <c r="A28" s="1"/>
      <c r="B28" s="224" t="str">
        <f>Назви!A18</f>
        <v>Реальна річна процентна ставка, %</v>
      </c>
      <c r="C28" s="225">
        <f>Назви!B16</f>
        <v>0</v>
      </c>
      <c r="D28" s="225">
        <f>Назви!C16</f>
        <v>0</v>
      </c>
      <c r="E28" s="226">
        <f>Назви!D16</f>
        <v>0</v>
      </c>
      <c r="F28" s="147">
        <f ca="1">XIRR(G39:G87,C39:C87)</f>
        <v>0.73077970743179321</v>
      </c>
      <c r="G28" s="175"/>
      <c r="H28" s="173"/>
      <c r="I28" s="42"/>
      <c r="J28" s="51"/>
      <c r="K28" s="37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</row>
    <row r="29" spans="1:45" s="7" customFormat="1" x14ac:dyDescent="0.2">
      <c r="A29" s="1"/>
      <c r="B29" s="114"/>
      <c r="C29" s="114"/>
      <c r="D29" s="114"/>
      <c r="E29" s="114"/>
      <c r="F29" s="115"/>
      <c r="G29" s="96"/>
      <c r="H29" s="112"/>
      <c r="I29" s="42"/>
      <c r="J29" s="51"/>
      <c r="Q29" s="38"/>
      <c r="R29" s="38"/>
      <c r="S29" s="38"/>
      <c r="T29" s="38"/>
      <c r="U29" s="38"/>
      <c r="V29" s="38"/>
      <c r="W29" s="38"/>
      <c r="X29" s="38"/>
      <c r="Y29" s="3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</row>
    <row r="30" spans="1:45" ht="38.25" hidden="1" customHeight="1" outlineLevel="1" x14ac:dyDescent="0.2">
      <c r="A30" s="1"/>
      <c r="B30" s="227" t="str">
        <f>Назви!A19</f>
        <v>Інший термін</v>
      </c>
      <c r="C30" s="228">
        <f>Назви!B19</f>
        <v>0</v>
      </c>
      <c r="D30" s="122" t="str">
        <f>Назви!C19</f>
        <v>Щомісячний платіж</v>
      </c>
      <c r="E30" s="123" t="str">
        <f>Назви!D19</f>
        <v>Переплата у грн.               за весь період</v>
      </c>
      <c r="F30" s="124" t="str">
        <f>Назви!E19</f>
        <v>Переплата у відсотках за весь період</v>
      </c>
      <c r="G30" s="124" t="str">
        <f>Назви!F19</f>
        <v>Переплата в місяць</v>
      </c>
      <c r="H30" s="124" t="str">
        <f>Назви!G19</f>
        <v>Переплата в день</v>
      </c>
      <c r="I30" s="124" t="str">
        <f>Назви!H19</f>
        <v>Щодененний платіж</v>
      </c>
      <c r="J30" s="51"/>
    </row>
    <row r="31" spans="1:45" hidden="1" outlineLevel="1" x14ac:dyDescent="0.2">
      <c r="A31" s="40" t="str">
        <f>LEFT(B31,2)</f>
        <v>24</v>
      </c>
      <c r="B31" s="217" t="s">
        <v>32</v>
      </c>
      <c r="C31" s="218"/>
      <c r="D31" s="125">
        <f>IF(ISERROR(M28),"",M28)</f>
        <v>0</v>
      </c>
      <c r="E31" s="125" t="str">
        <f>IF(ISERROR(#REF!),"",#REF!)</f>
        <v/>
      </c>
      <c r="F31" s="126">
        <f>IF(ISERROR(M26),"",M26)</f>
        <v>0</v>
      </c>
      <c r="G31" s="127" t="str">
        <f>IF(ISERROR(E31/A31),"",E31/A31)</f>
        <v/>
      </c>
      <c r="H31" s="128" t="str">
        <f>IF(ISERROR(E31/A31/G$3),"",E31/A31/G$3)</f>
        <v/>
      </c>
      <c r="I31" s="129">
        <f>IF(ISERROR(D31/G$3),"",D31/G$3)</f>
        <v>0</v>
      </c>
      <c r="J31" s="51"/>
      <c r="K31" s="38"/>
      <c r="L31" s="38"/>
      <c r="M31" s="38"/>
      <c r="N31" s="38"/>
      <c r="O31" s="38"/>
      <c r="P31" s="38"/>
      <c r="Q31" s="38"/>
      <c r="R31" s="38"/>
      <c r="S31" s="38"/>
    </row>
    <row r="32" spans="1:45" hidden="1" outlineLevel="1" x14ac:dyDescent="0.2">
      <c r="A32" s="40" t="str">
        <f>LEFT(B32,2)</f>
        <v>18</v>
      </c>
      <c r="B32" s="217" t="s">
        <v>33</v>
      </c>
      <c r="C32" s="218"/>
      <c r="D32" s="130">
        <f>IF(ISERROR(N28),"",N28)</f>
        <v>0</v>
      </c>
      <c r="E32" s="130" t="str">
        <f>IF(ISERROR(#REF!),"",#REF!)</f>
        <v/>
      </c>
      <c r="F32" s="131">
        <f>IF(ISERROR(N26),"",N26)</f>
        <v>0</v>
      </c>
      <c r="G32" s="127" t="str">
        <f>IF(ISERROR(E32/A32),"",E32/A32)</f>
        <v/>
      </c>
      <c r="H32" s="128" t="str">
        <f>IF(ISERROR(E32/A32/G$3),"",E32/A32/G$3)</f>
        <v/>
      </c>
      <c r="I32" s="129">
        <f>IF(ISERROR(D32/G$3),"",D32/G$3)</f>
        <v>0</v>
      </c>
      <c r="J32" s="51"/>
      <c r="K32" s="38"/>
      <c r="L32" s="38"/>
      <c r="M32" s="38"/>
      <c r="N32" s="38"/>
      <c r="O32" s="38"/>
      <c r="P32" s="38"/>
      <c r="Q32" s="38"/>
      <c r="R32" s="38"/>
      <c r="S32" s="38"/>
    </row>
    <row r="33" spans="1:45" hidden="1" outlineLevel="1" x14ac:dyDescent="0.2">
      <c r="A33" s="40" t="str">
        <f>LEFT(B33,2)</f>
        <v>12</v>
      </c>
      <c r="B33" s="217" t="s">
        <v>9</v>
      </c>
      <c r="C33" s="218"/>
      <c r="D33" s="130">
        <f>IF(ISERROR(O28),"",O28)</f>
        <v>0</v>
      </c>
      <c r="E33" s="130" t="str">
        <f>IF(ISERROR(#REF!),"",#REF!)</f>
        <v/>
      </c>
      <c r="F33" s="131">
        <f>IF(ISERROR(O26),"",O26)</f>
        <v>0</v>
      </c>
      <c r="G33" s="127" t="str">
        <f>IF(ISERROR(E33/A33),"",E33/A33)</f>
        <v/>
      </c>
      <c r="H33" s="128" t="str">
        <f>IF(ISERROR(E33/A33/G$3),"",E33/A33/G$3)</f>
        <v/>
      </c>
      <c r="I33" s="129">
        <f>IF(ISERROR(D33/G$3),"",D33/G$3)</f>
        <v>0</v>
      </c>
      <c r="J33" s="51"/>
      <c r="K33" s="38"/>
      <c r="L33" s="38"/>
      <c r="M33" s="38"/>
      <c r="N33" s="38"/>
      <c r="O33" s="38"/>
      <c r="P33" s="38"/>
      <c r="Q33" s="38"/>
      <c r="R33" s="38"/>
      <c r="S33" s="38"/>
    </row>
    <row r="34" spans="1:45" hidden="1" outlineLevel="1" x14ac:dyDescent="0.2">
      <c r="A34" s="40" t="str">
        <f>LEFT(B34,2)</f>
        <v/>
      </c>
      <c r="B34" s="217"/>
      <c r="C34" s="218"/>
      <c r="D34" s="130">
        <f>IF(ISERROR(P28),"",P28)</f>
        <v>0</v>
      </c>
      <c r="E34" s="130" t="str">
        <f>IF(ISERROR(#REF!),"",#REF!)</f>
        <v/>
      </c>
      <c r="F34" s="131">
        <f>IF(ISERROR(P26),"",P26)</f>
        <v>0</v>
      </c>
      <c r="G34" s="127" t="str">
        <f>IF(ISERROR(E34/A34),"",E34/A34)</f>
        <v/>
      </c>
      <c r="H34" s="128" t="str">
        <f>IF(ISERROR(E34/A34/G$3),"",E34/A34/G$3)</f>
        <v/>
      </c>
      <c r="I34" s="129">
        <f>IF(ISERROR(D34/G$3),"",D34/G$3)</f>
        <v>0</v>
      </c>
      <c r="J34" s="51"/>
      <c r="K34" s="38"/>
      <c r="L34" s="38"/>
      <c r="M34" s="38"/>
      <c r="N34" s="38"/>
      <c r="O34" s="38"/>
      <c r="P34" s="38"/>
      <c r="Q34" s="38"/>
      <c r="R34" s="38"/>
      <c r="S34" s="38"/>
    </row>
    <row r="35" spans="1:45" hidden="1" collapsed="1" x14ac:dyDescent="0.2">
      <c r="A35" s="2"/>
      <c r="B35" s="94"/>
      <c r="C35" s="114"/>
      <c r="D35" s="94"/>
      <c r="E35" s="113"/>
      <c r="F35" s="42"/>
      <c r="G35" s="112"/>
      <c r="H35" s="96"/>
      <c r="I35" s="42"/>
      <c r="J35" s="51"/>
      <c r="K35" s="38"/>
      <c r="L35" s="38"/>
      <c r="M35" s="38"/>
      <c r="N35" s="38"/>
      <c r="O35" s="38"/>
      <c r="P35" s="38"/>
      <c r="Q35" s="38"/>
      <c r="R35" s="38"/>
      <c r="S35" s="38"/>
    </row>
    <row r="36" spans="1:45" s="7" customFormat="1" ht="13.5" thickBot="1" x14ac:dyDescent="0.25">
      <c r="A36" s="1"/>
      <c r="B36" s="16"/>
      <c r="C36" s="10"/>
      <c r="D36" s="102"/>
      <c r="E36" s="17"/>
      <c r="F36" s="18"/>
      <c r="G36" s="12"/>
      <c r="H36" s="11"/>
      <c r="I36" s="1"/>
      <c r="J36" s="51"/>
      <c r="K36" s="38"/>
      <c r="L36" s="38"/>
      <c r="M36" s="38"/>
      <c r="N36" s="38"/>
      <c r="O36" s="38"/>
      <c r="P36" s="38"/>
      <c r="Q36" s="38"/>
      <c r="R36" s="38"/>
      <c r="S36" s="3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</row>
    <row r="37" spans="1:45" ht="18.75" thickBot="1" x14ac:dyDescent="0.25">
      <c r="A37" s="1"/>
      <c r="B37" s="219" t="str">
        <f>Назви!A26</f>
        <v xml:space="preserve">ГРАФІК СПЛАТИ КРЕДИТУ </v>
      </c>
      <c r="C37" s="220"/>
      <c r="D37" s="220"/>
      <c r="E37" s="220"/>
      <c r="F37" s="220"/>
      <c r="G37" s="220"/>
      <c r="H37" s="221"/>
      <c r="I37" s="3"/>
      <c r="J37" s="51"/>
      <c r="K37" s="38"/>
      <c r="L37" s="38"/>
      <c r="M37" s="38"/>
      <c r="N37" s="38"/>
      <c r="O37" s="38"/>
      <c r="P37" s="38"/>
      <c r="Q37" s="38"/>
      <c r="R37" s="38"/>
      <c r="S37" s="38"/>
    </row>
    <row r="38" spans="1:45" ht="44.45" customHeight="1" thickBot="1" x14ac:dyDescent="0.25">
      <c r="A38" s="1"/>
      <c r="B38" s="222" t="str">
        <f>Назви!A27</f>
        <v>Місяць</v>
      </c>
      <c r="C38" s="223"/>
      <c r="D38" s="95" t="str">
        <f>Назви!C27</f>
        <v>Розмір щомісячних внесків з повернення кредиту, грн.</v>
      </c>
      <c r="E38" s="95" t="str">
        <f>Назви!D27</f>
        <v>Розмір щомісячної плати за обслуговування кредиту, грн.</v>
      </c>
      <c r="F38" s="95" t="s">
        <v>5</v>
      </c>
      <c r="G38" s="222" t="str">
        <f>Назви!F27</f>
        <v>Загальна сума внесків до повернення в місяць, грн.</v>
      </c>
      <c r="H38" s="223"/>
      <c r="I38" s="3"/>
      <c r="K38" s="38"/>
      <c r="L38" s="38"/>
      <c r="M38" s="38"/>
      <c r="N38" s="38"/>
      <c r="O38" s="38"/>
      <c r="P38" s="38"/>
      <c r="Q38" s="38"/>
      <c r="R38" s="38"/>
      <c r="S38" s="38"/>
    </row>
    <row r="39" spans="1:45" ht="13.9" hidden="1" customHeight="1" thickBot="1" x14ac:dyDescent="0.25">
      <c r="A39" s="1"/>
      <c r="B39" s="90">
        <v>0</v>
      </c>
      <c r="C39" s="159">
        <f ca="1">TODAY()</f>
        <v>45855</v>
      </c>
      <c r="D39" s="91"/>
      <c r="E39" s="92"/>
      <c r="F39" s="91"/>
      <c r="G39" s="158">
        <f>-F5</f>
        <v>-94339.62</v>
      </c>
      <c r="H39" s="32"/>
      <c r="I39" s="3"/>
      <c r="K39" s="38"/>
      <c r="L39" s="38"/>
      <c r="M39" s="38"/>
      <c r="N39" s="38"/>
      <c r="O39" s="38"/>
      <c r="P39" s="38"/>
      <c r="Q39" s="38"/>
      <c r="R39" s="38"/>
      <c r="S39" s="38"/>
    </row>
    <row r="40" spans="1:45" x14ac:dyDescent="0.2">
      <c r="A40" s="1">
        <v>1</v>
      </c>
      <c r="B40" s="101">
        <v>1</v>
      </c>
      <c r="C40" s="106">
        <f ca="1">DATE(YEAR(C39),MONTH(C39)+1,DAY(C39))</f>
        <v>45886</v>
      </c>
      <c r="D40" s="19">
        <f>IF(B40&lt;=$F$21,$F$7/$F$21,0)</f>
        <v>4166.6665499999999</v>
      </c>
      <c r="E40" s="20">
        <f>IF(AND(B40&gt;F$13,B40&lt;=$F$21),F$7*F$19,0)</f>
        <v>0</v>
      </c>
      <c r="F40" s="182">
        <f>IF(B40&lt;=$F$21,F$5*F$9/12,0)</f>
        <v>0.7861634999999999</v>
      </c>
      <c r="G40" s="208">
        <f t="shared" ref="G40:G71" si="0">IF(B$40&lt;=F$21,D40+E40+F40,0)</f>
        <v>4167.4527134999998</v>
      </c>
      <c r="H40" s="208"/>
      <c r="I40" s="3"/>
      <c r="K40" s="38"/>
      <c r="L40" s="38"/>
      <c r="M40" s="38"/>
      <c r="N40" s="38"/>
      <c r="O40" s="38"/>
      <c r="P40" s="38"/>
      <c r="Q40" s="38"/>
      <c r="R40" s="38"/>
      <c r="S40" s="38"/>
    </row>
    <row r="41" spans="1:45" x14ac:dyDescent="0.2">
      <c r="A41" s="1">
        <v>2</v>
      </c>
      <c r="B41" s="100">
        <v>2</v>
      </c>
      <c r="C41" s="103">
        <f t="shared" ref="C41:C99" ca="1" si="1">DATE(YEAR(C40),MONTH(C40)+1,DAY(C40))</f>
        <v>45917</v>
      </c>
      <c r="D41" s="19">
        <f t="shared" ref="D41:D87" si="2">IF(B41&lt;=$F$21,$F$7/$F$21,0)</f>
        <v>4166.6665499999999</v>
      </c>
      <c r="E41" s="20">
        <f t="shared" ref="E41:E99" si="3">IF(AND(B41&gt;F$13,B41&lt;=$F$21),F$7*F$19,0)</f>
        <v>0</v>
      </c>
      <c r="F41" s="20">
        <f t="shared" ref="F41:F99" si="4">IF(B41&lt;=$F$21,F$5*F$9/12,0)</f>
        <v>0.7861634999999999</v>
      </c>
      <c r="G41" s="208">
        <f t="shared" si="0"/>
        <v>4167.4527134999998</v>
      </c>
      <c r="H41" s="208"/>
      <c r="I41" s="3"/>
      <c r="K41" s="38"/>
      <c r="L41" s="38"/>
      <c r="M41" s="38"/>
      <c r="N41" s="38"/>
      <c r="O41" s="38"/>
      <c r="P41" s="38"/>
      <c r="Q41" s="38"/>
      <c r="R41" s="38"/>
      <c r="S41" s="38"/>
    </row>
    <row r="42" spans="1:45" x14ac:dyDescent="0.2">
      <c r="A42" s="1">
        <v>3</v>
      </c>
      <c r="B42" s="100">
        <v>3</v>
      </c>
      <c r="C42" s="103">
        <f t="shared" ca="1" si="1"/>
        <v>45947</v>
      </c>
      <c r="D42" s="19">
        <f t="shared" si="2"/>
        <v>4166.6665499999999</v>
      </c>
      <c r="E42" s="20">
        <f t="shared" si="3"/>
        <v>0</v>
      </c>
      <c r="F42" s="20">
        <f t="shared" si="4"/>
        <v>0.7861634999999999</v>
      </c>
      <c r="G42" s="208">
        <f t="shared" si="0"/>
        <v>4167.4527134999998</v>
      </c>
      <c r="H42" s="208"/>
      <c r="I42" s="3"/>
      <c r="K42" s="38"/>
      <c r="L42" s="38"/>
      <c r="M42" s="38"/>
      <c r="N42" s="38"/>
      <c r="O42" s="38"/>
      <c r="P42" s="38"/>
      <c r="Q42" s="38"/>
      <c r="R42" s="38"/>
      <c r="S42" s="38"/>
    </row>
    <row r="43" spans="1:45" x14ac:dyDescent="0.2">
      <c r="A43" s="1">
        <v>4</v>
      </c>
      <c r="B43" s="100">
        <v>4</v>
      </c>
      <c r="C43" s="103">
        <f t="shared" ca="1" si="1"/>
        <v>45978</v>
      </c>
      <c r="D43" s="19">
        <f t="shared" si="2"/>
        <v>4166.6665499999999</v>
      </c>
      <c r="E43" s="20">
        <f t="shared" si="3"/>
        <v>0</v>
      </c>
      <c r="F43" s="20">
        <f t="shared" si="4"/>
        <v>0.7861634999999999</v>
      </c>
      <c r="G43" s="208">
        <f t="shared" si="0"/>
        <v>4167.4527134999998</v>
      </c>
      <c r="H43" s="208"/>
      <c r="I43" s="3"/>
      <c r="K43" s="38"/>
      <c r="L43" s="38"/>
      <c r="M43" s="38"/>
      <c r="N43" s="38"/>
      <c r="O43" s="38"/>
      <c r="P43" s="38"/>
      <c r="Q43" s="38"/>
      <c r="R43" s="38"/>
      <c r="S43" s="38"/>
    </row>
    <row r="44" spans="1:45" x14ac:dyDescent="0.2">
      <c r="A44" s="1">
        <v>5</v>
      </c>
      <c r="B44" s="100">
        <v>5</v>
      </c>
      <c r="C44" s="103">
        <f t="shared" ca="1" si="1"/>
        <v>46008</v>
      </c>
      <c r="D44" s="19">
        <f t="shared" si="2"/>
        <v>4166.6665499999999</v>
      </c>
      <c r="E44" s="20">
        <f t="shared" si="3"/>
        <v>0</v>
      </c>
      <c r="F44" s="20">
        <f t="shared" si="4"/>
        <v>0.7861634999999999</v>
      </c>
      <c r="G44" s="208">
        <f t="shared" si="0"/>
        <v>4167.4527134999998</v>
      </c>
      <c r="H44" s="208"/>
      <c r="I44" s="3"/>
      <c r="K44" s="38"/>
      <c r="L44" s="38"/>
      <c r="M44" s="38"/>
      <c r="N44" s="38"/>
      <c r="O44" s="38"/>
      <c r="P44" s="38"/>
      <c r="Q44" s="38"/>
      <c r="R44" s="38"/>
      <c r="S44" s="38"/>
    </row>
    <row r="45" spans="1:45" x14ac:dyDescent="0.2">
      <c r="A45" s="1">
        <v>6</v>
      </c>
      <c r="B45" s="100">
        <v>6</v>
      </c>
      <c r="C45" s="103">
        <f t="shared" ca="1" si="1"/>
        <v>46039</v>
      </c>
      <c r="D45" s="19">
        <f t="shared" si="2"/>
        <v>4166.6665499999999</v>
      </c>
      <c r="E45" s="20">
        <f t="shared" si="3"/>
        <v>0</v>
      </c>
      <c r="F45" s="20">
        <f t="shared" si="4"/>
        <v>0.7861634999999999</v>
      </c>
      <c r="G45" s="208">
        <f t="shared" si="0"/>
        <v>4167.4527134999998</v>
      </c>
      <c r="H45" s="208"/>
      <c r="I45" s="3"/>
      <c r="K45" s="38"/>
      <c r="L45" s="38"/>
      <c r="M45" s="38"/>
      <c r="N45" s="38"/>
      <c r="O45" s="38"/>
      <c r="P45" s="38"/>
      <c r="Q45" s="38"/>
      <c r="R45" s="38"/>
      <c r="S45" s="38"/>
    </row>
    <row r="46" spans="1:45" x14ac:dyDescent="0.2">
      <c r="A46" s="1">
        <v>7</v>
      </c>
      <c r="B46" s="100">
        <v>7</v>
      </c>
      <c r="C46" s="103">
        <f t="shared" ca="1" si="1"/>
        <v>46070</v>
      </c>
      <c r="D46" s="19">
        <f t="shared" si="2"/>
        <v>4166.6665499999999</v>
      </c>
      <c r="E46" s="20">
        <f t="shared" si="3"/>
        <v>0</v>
      </c>
      <c r="F46" s="20">
        <f t="shared" si="4"/>
        <v>0.7861634999999999</v>
      </c>
      <c r="G46" s="208">
        <f t="shared" si="0"/>
        <v>4167.4527134999998</v>
      </c>
      <c r="H46" s="208"/>
      <c r="I46" s="3"/>
      <c r="K46" s="38"/>
      <c r="L46" s="38"/>
      <c r="M46" s="38"/>
      <c r="N46" s="38"/>
      <c r="O46" s="38"/>
      <c r="P46" s="38"/>
      <c r="Q46" s="38"/>
      <c r="R46" s="38"/>
      <c r="S46" s="38"/>
    </row>
    <row r="47" spans="1:45" x14ac:dyDescent="0.2">
      <c r="A47" s="1">
        <v>8</v>
      </c>
      <c r="B47" s="100">
        <v>8</v>
      </c>
      <c r="C47" s="103">
        <f t="shared" ca="1" si="1"/>
        <v>46098</v>
      </c>
      <c r="D47" s="19">
        <f t="shared" si="2"/>
        <v>4166.6665499999999</v>
      </c>
      <c r="E47" s="20">
        <f t="shared" si="3"/>
        <v>0</v>
      </c>
      <c r="F47" s="20">
        <f t="shared" si="4"/>
        <v>0.7861634999999999</v>
      </c>
      <c r="G47" s="208">
        <f t="shared" si="0"/>
        <v>4167.4527134999998</v>
      </c>
      <c r="H47" s="208"/>
      <c r="I47" s="3"/>
      <c r="K47" s="38"/>
      <c r="L47" s="38"/>
      <c r="M47" s="38"/>
      <c r="N47" s="38"/>
      <c r="O47" s="38"/>
      <c r="P47" s="38"/>
      <c r="Q47" s="38"/>
      <c r="R47" s="38"/>
      <c r="S47" s="38"/>
    </row>
    <row r="48" spans="1:45" x14ac:dyDescent="0.2">
      <c r="A48" s="1">
        <v>9</v>
      </c>
      <c r="B48" s="100">
        <v>9</v>
      </c>
      <c r="C48" s="103">
        <f t="shared" ca="1" si="1"/>
        <v>46129</v>
      </c>
      <c r="D48" s="19">
        <f t="shared" si="2"/>
        <v>4166.6665499999999</v>
      </c>
      <c r="E48" s="20">
        <f t="shared" si="3"/>
        <v>0</v>
      </c>
      <c r="F48" s="20">
        <f t="shared" si="4"/>
        <v>0.7861634999999999</v>
      </c>
      <c r="G48" s="208">
        <f t="shared" si="0"/>
        <v>4167.4527134999998</v>
      </c>
      <c r="H48" s="208"/>
      <c r="I48" s="3"/>
      <c r="K48" s="38"/>
      <c r="L48" s="38"/>
      <c r="M48" s="38"/>
      <c r="N48" s="38"/>
      <c r="O48" s="38"/>
      <c r="P48" s="38"/>
      <c r="Q48" s="38"/>
      <c r="R48" s="38"/>
      <c r="S48" s="38"/>
      <c r="AA48" s="51"/>
    </row>
    <row r="49" spans="1:27" s="4" customFormat="1" x14ac:dyDescent="0.2">
      <c r="A49" s="1">
        <v>10</v>
      </c>
      <c r="B49" s="100">
        <v>10</v>
      </c>
      <c r="C49" s="103">
        <f t="shared" ca="1" si="1"/>
        <v>46159</v>
      </c>
      <c r="D49" s="19">
        <f t="shared" si="2"/>
        <v>4166.6665499999999</v>
      </c>
      <c r="E49" s="20">
        <f t="shared" si="3"/>
        <v>4989.9998602799997</v>
      </c>
      <c r="F49" s="20">
        <f t="shared" si="4"/>
        <v>0.7861634999999999</v>
      </c>
      <c r="G49" s="208">
        <f t="shared" si="0"/>
        <v>9157.4525737799995</v>
      </c>
      <c r="H49" s="208"/>
      <c r="I49" s="3"/>
      <c r="J49" s="3"/>
      <c r="K49" s="38"/>
      <c r="L49" s="38"/>
      <c r="M49" s="38"/>
      <c r="N49" s="38"/>
      <c r="O49" s="38"/>
      <c r="P49" s="38"/>
      <c r="Q49" s="38"/>
      <c r="R49" s="38"/>
      <c r="S49" s="38"/>
      <c r="AA49" s="51"/>
    </row>
    <row r="50" spans="1:27" s="4" customFormat="1" x14ac:dyDescent="0.2">
      <c r="A50" s="1">
        <v>22</v>
      </c>
      <c r="B50" s="100">
        <v>11</v>
      </c>
      <c r="C50" s="103">
        <f t="shared" ca="1" si="1"/>
        <v>46190</v>
      </c>
      <c r="D50" s="19">
        <f t="shared" si="2"/>
        <v>4166.6665499999999</v>
      </c>
      <c r="E50" s="20">
        <f t="shared" si="3"/>
        <v>4989.9998602799997</v>
      </c>
      <c r="F50" s="20">
        <f t="shared" si="4"/>
        <v>0.7861634999999999</v>
      </c>
      <c r="G50" s="208">
        <f t="shared" si="0"/>
        <v>9157.4525737799995</v>
      </c>
      <c r="H50" s="208"/>
      <c r="I50" s="3"/>
      <c r="J50" s="3"/>
      <c r="K50" s="38"/>
      <c r="L50" s="38"/>
      <c r="M50" s="38"/>
      <c r="N50" s="38"/>
      <c r="O50" s="38"/>
      <c r="P50" s="38"/>
      <c r="Q50" s="38"/>
      <c r="R50" s="38"/>
      <c r="S50" s="38"/>
      <c r="AA50" s="51"/>
    </row>
    <row r="51" spans="1:27" s="4" customFormat="1" x14ac:dyDescent="0.2">
      <c r="A51" s="1">
        <v>22</v>
      </c>
      <c r="B51" s="100">
        <v>12</v>
      </c>
      <c r="C51" s="103">
        <f t="shared" ca="1" si="1"/>
        <v>46220</v>
      </c>
      <c r="D51" s="19">
        <f t="shared" si="2"/>
        <v>4166.6665499999999</v>
      </c>
      <c r="E51" s="20">
        <f t="shared" si="3"/>
        <v>4989.9998602799997</v>
      </c>
      <c r="F51" s="20">
        <f t="shared" si="4"/>
        <v>0.7861634999999999</v>
      </c>
      <c r="G51" s="208">
        <f t="shared" si="0"/>
        <v>9157.4525737799995</v>
      </c>
      <c r="H51" s="208"/>
      <c r="I51" s="3"/>
      <c r="J51" s="3"/>
      <c r="K51" s="38"/>
      <c r="L51" s="38"/>
      <c r="M51" s="38"/>
      <c r="N51" s="38"/>
      <c r="O51" s="38"/>
      <c r="P51" s="38"/>
      <c r="Q51" s="38"/>
      <c r="R51" s="38"/>
      <c r="S51" s="38"/>
      <c r="AA51" s="51"/>
    </row>
    <row r="52" spans="1:27" s="4" customFormat="1" x14ac:dyDescent="0.2">
      <c r="A52" s="1">
        <v>13</v>
      </c>
      <c r="B52" s="100">
        <v>13</v>
      </c>
      <c r="C52" s="103">
        <f t="shared" ca="1" si="1"/>
        <v>46251</v>
      </c>
      <c r="D52" s="19">
        <f t="shared" si="2"/>
        <v>4166.6665499999999</v>
      </c>
      <c r="E52" s="20">
        <f t="shared" si="3"/>
        <v>4989.9998602799997</v>
      </c>
      <c r="F52" s="20">
        <f t="shared" si="4"/>
        <v>0.7861634999999999</v>
      </c>
      <c r="G52" s="208">
        <f t="shared" si="0"/>
        <v>9157.4525737799995</v>
      </c>
      <c r="H52" s="208"/>
      <c r="I52" s="3"/>
      <c r="J52" s="3"/>
      <c r="K52" s="38"/>
      <c r="L52" s="38"/>
      <c r="M52" s="38"/>
      <c r="N52" s="38"/>
      <c r="O52" s="38"/>
      <c r="P52" s="38"/>
      <c r="Q52" s="38"/>
      <c r="R52" s="38"/>
      <c r="S52" s="38"/>
      <c r="AA52" s="51"/>
    </row>
    <row r="53" spans="1:27" s="4" customFormat="1" x14ac:dyDescent="0.2">
      <c r="A53" s="1">
        <v>14</v>
      </c>
      <c r="B53" s="100">
        <v>14</v>
      </c>
      <c r="C53" s="103">
        <f t="shared" ca="1" si="1"/>
        <v>46282</v>
      </c>
      <c r="D53" s="19">
        <f t="shared" si="2"/>
        <v>4166.6665499999999</v>
      </c>
      <c r="E53" s="20">
        <f t="shared" si="3"/>
        <v>4989.9998602799997</v>
      </c>
      <c r="F53" s="20">
        <f t="shared" si="4"/>
        <v>0.7861634999999999</v>
      </c>
      <c r="G53" s="208">
        <f t="shared" si="0"/>
        <v>9157.4525737799995</v>
      </c>
      <c r="H53" s="208"/>
      <c r="I53" s="3"/>
      <c r="J53" s="3"/>
      <c r="K53" s="38"/>
      <c r="L53" s="38"/>
      <c r="M53" s="38"/>
      <c r="N53" s="38"/>
      <c r="O53" s="38"/>
      <c r="P53" s="38"/>
      <c r="Q53" s="38"/>
      <c r="R53" s="38"/>
      <c r="S53" s="38"/>
      <c r="AA53" s="51"/>
    </row>
    <row r="54" spans="1:27" s="4" customFormat="1" x14ac:dyDescent="0.2">
      <c r="A54" s="1">
        <v>15</v>
      </c>
      <c r="B54" s="100">
        <v>15</v>
      </c>
      <c r="C54" s="103">
        <f t="shared" ca="1" si="1"/>
        <v>46312</v>
      </c>
      <c r="D54" s="19">
        <f t="shared" si="2"/>
        <v>4166.6665499999999</v>
      </c>
      <c r="E54" s="20">
        <f t="shared" si="3"/>
        <v>4989.9998602799997</v>
      </c>
      <c r="F54" s="20">
        <f t="shared" si="4"/>
        <v>0.7861634999999999</v>
      </c>
      <c r="G54" s="208">
        <f t="shared" si="0"/>
        <v>9157.4525737799995</v>
      </c>
      <c r="H54" s="208"/>
      <c r="I54" s="3"/>
      <c r="J54" s="3"/>
      <c r="K54" s="38"/>
      <c r="L54" s="38"/>
      <c r="M54" s="38"/>
      <c r="N54" s="38"/>
      <c r="O54" s="38"/>
      <c r="P54" s="38"/>
      <c r="Q54" s="38"/>
      <c r="R54" s="38"/>
      <c r="S54" s="38"/>
    </row>
    <row r="55" spans="1:27" s="4" customFormat="1" x14ac:dyDescent="0.2">
      <c r="A55" s="1">
        <v>16</v>
      </c>
      <c r="B55" s="100">
        <v>16</v>
      </c>
      <c r="C55" s="103">
        <f t="shared" ca="1" si="1"/>
        <v>46343</v>
      </c>
      <c r="D55" s="19">
        <f t="shared" si="2"/>
        <v>4166.6665499999999</v>
      </c>
      <c r="E55" s="20">
        <f t="shared" si="3"/>
        <v>4989.9998602799997</v>
      </c>
      <c r="F55" s="20">
        <f t="shared" si="4"/>
        <v>0.7861634999999999</v>
      </c>
      <c r="G55" s="208">
        <f t="shared" si="0"/>
        <v>9157.4525737799995</v>
      </c>
      <c r="H55" s="208"/>
      <c r="I55" s="3"/>
      <c r="J55" s="3"/>
      <c r="K55" s="38"/>
      <c r="L55" s="38"/>
      <c r="M55" s="38"/>
      <c r="N55" s="38"/>
      <c r="O55" s="38"/>
      <c r="P55" s="38"/>
      <c r="Q55" s="38"/>
      <c r="R55" s="38"/>
      <c r="S55" s="38"/>
    </row>
    <row r="56" spans="1:27" s="4" customFormat="1" x14ac:dyDescent="0.2">
      <c r="A56" s="1">
        <v>22</v>
      </c>
      <c r="B56" s="100">
        <v>17</v>
      </c>
      <c r="C56" s="103">
        <f t="shared" ca="1" si="1"/>
        <v>46373</v>
      </c>
      <c r="D56" s="19">
        <f t="shared" si="2"/>
        <v>4166.6665499999999</v>
      </c>
      <c r="E56" s="20">
        <f t="shared" si="3"/>
        <v>4989.9998602799997</v>
      </c>
      <c r="F56" s="20">
        <f t="shared" si="4"/>
        <v>0.7861634999999999</v>
      </c>
      <c r="G56" s="208">
        <f t="shared" si="0"/>
        <v>9157.4525737799995</v>
      </c>
      <c r="H56" s="208"/>
      <c r="I56" s="3"/>
      <c r="J56" s="3"/>
      <c r="K56" s="38"/>
      <c r="L56" s="38"/>
      <c r="M56" s="38"/>
      <c r="N56" s="38"/>
      <c r="O56" s="38"/>
      <c r="P56" s="38"/>
      <c r="Q56" s="38"/>
      <c r="R56" s="38"/>
      <c r="S56" s="38"/>
    </row>
    <row r="57" spans="1:27" s="4" customFormat="1" x14ac:dyDescent="0.2">
      <c r="A57" s="1">
        <v>22</v>
      </c>
      <c r="B57" s="100">
        <v>18</v>
      </c>
      <c r="C57" s="103">
        <f t="shared" ca="1" si="1"/>
        <v>46404</v>
      </c>
      <c r="D57" s="19">
        <f t="shared" si="2"/>
        <v>4166.6665499999999</v>
      </c>
      <c r="E57" s="20">
        <f t="shared" si="3"/>
        <v>4989.9998602799997</v>
      </c>
      <c r="F57" s="20">
        <f t="shared" si="4"/>
        <v>0.7861634999999999</v>
      </c>
      <c r="G57" s="208">
        <f t="shared" si="0"/>
        <v>9157.4525737799995</v>
      </c>
      <c r="H57" s="208"/>
      <c r="I57" s="3"/>
      <c r="J57" s="3"/>
      <c r="K57" s="38"/>
      <c r="L57" s="38"/>
      <c r="M57" s="38"/>
      <c r="N57" s="38"/>
      <c r="O57" s="38"/>
      <c r="P57" s="38"/>
      <c r="Q57" s="38"/>
      <c r="R57" s="38"/>
      <c r="S57" s="38"/>
    </row>
    <row r="58" spans="1:27" s="4" customFormat="1" x14ac:dyDescent="0.2">
      <c r="A58" s="1">
        <v>19</v>
      </c>
      <c r="B58" s="100">
        <v>19</v>
      </c>
      <c r="C58" s="103">
        <f t="shared" ca="1" si="1"/>
        <v>46435</v>
      </c>
      <c r="D58" s="19">
        <f t="shared" si="2"/>
        <v>4166.6665499999999</v>
      </c>
      <c r="E58" s="20">
        <f t="shared" si="3"/>
        <v>4989.9998602799997</v>
      </c>
      <c r="F58" s="20">
        <f t="shared" si="4"/>
        <v>0.7861634999999999</v>
      </c>
      <c r="G58" s="208">
        <f t="shared" si="0"/>
        <v>9157.4525737799995</v>
      </c>
      <c r="H58" s="208"/>
      <c r="I58" s="3"/>
      <c r="J58" s="3"/>
      <c r="K58" s="38"/>
      <c r="L58" s="38"/>
      <c r="M58" s="38"/>
      <c r="N58" s="38"/>
      <c r="O58" s="38"/>
      <c r="P58" s="38"/>
      <c r="Q58" s="38"/>
      <c r="R58" s="38"/>
      <c r="S58" s="38"/>
    </row>
    <row r="59" spans="1:27" s="4" customFormat="1" x14ac:dyDescent="0.2">
      <c r="A59" s="1">
        <v>20</v>
      </c>
      <c r="B59" s="100">
        <v>20</v>
      </c>
      <c r="C59" s="103">
        <f t="shared" ca="1" si="1"/>
        <v>46463</v>
      </c>
      <c r="D59" s="19">
        <f t="shared" si="2"/>
        <v>4166.6665499999999</v>
      </c>
      <c r="E59" s="20">
        <f t="shared" si="3"/>
        <v>4989.9998602799997</v>
      </c>
      <c r="F59" s="20">
        <f t="shared" si="4"/>
        <v>0.7861634999999999</v>
      </c>
      <c r="G59" s="208">
        <f t="shared" si="0"/>
        <v>9157.4525737799995</v>
      </c>
      <c r="H59" s="208"/>
      <c r="I59" s="3"/>
      <c r="J59" s="3"/>
      <c r="K59" s="38"/>
      <c r="L59" s="38"/>
      <c r="M59" s="38"/>
      <c r="N59" s="38"/>
      <c r="O59" s="38"/>
      <c r="P59" s="38"/>
      <c r="Q59" s="38"/>
      <c r="R59" s="38"/>
      <c r="S59" s="38"/>
    </row>
    <row r="60" spans="1:27" s="4" customFormat="1" x14ac:dyDescent="0.2">
      <c r="A60" s="43">
        <v>21</v>
      </c>
      <c r="B60" s="100">
        <v>21</v>
      </c>
      <c r="C60" s="103">
        <f t="shared" ca="1" si="1"/>
        <v>46494</v>
      </c>
      <c r="D60" s="19">
        <f t="shared" si="2"/>
        <v>4166.6665499999999</v>
      </c>
      <c r="E60" s="20">
        <f t="shared" si="3"/>
        <v>4989.9998602799997</v>
      </c>
      <c r="F60" s="20">
        <f t="shared" si="4"/>
        <v>0.7861634999999999</v>
      </c>
      <c r="G60" s="208">
        <f t="shared" si="0"/>
        <v>9157.4525737799995</v>
      </c>
      <c r="H60" s="208"/>
      <c r="I60" s="3"/>
      <c r="J60" s="3"/>
      <c r="K60" s="38"/>
      <c r="L60" s="38"/>
      <c r="M60" s="38"/>
      <c r="N60" s="38"/>
      <c r="O60" s="38"/>
      <c r="P60" s="38"/>
      <c r="Q60" s="38"/>
      <c r="R60" s="38"/>
      <c r="S60" s="38"/>
    </row>
    <row r="61" spans="1:27" s="4" customFormat="1" x14ac:dyDescent="0.2">
      <c r="A61" s="43">
        <v>22</v>
      </c>
      <c r="B61" s="100">
        <v>22</v>
      </c>
      <c r="C61" s="103">
        <f t="shared" ca="1" si="1"/>
        <v>46524</v>
      </c>
      <c r="D61" s="19">
        <f t="shared" si="2"/>
        <v>4166.6665499999999</v>
      </c>
      <c r="E61" s="20">
        <f t="shared" si="3"/>
        <v>4989.9998602799997</v>
      </c>
      <c r="F61" s="20">
        <f t="shared" si="4"/>
        <v>0.7861634999999999</v>
      </c>
      <c r="G61" s="208">
        <f t="shared" si="0"/>
        <v>9157.4525737799995</v>
      </c>
      <c r="H61" s="208"/>
      <c r="I61" s="3"/>
      <c r="J61" s="3"/>
      <c r="K61" s="38"/>
      <c r="L61" s="38"/>
      <c r="M61" s="38"/>
      <c r="N61" s="38"/>
      <c r="O61" s="38"/>
      <c r="P61" s="38"/>
      <c r="Q61" s="38"/>
      <c r="R61" s="38"/>
      <c r="S61" s="38"/>
    </row>
    <row r="62" spans="1:27" s="4" customFormat="1" x14ac:dyDescent="0.2">
      <c r="A62" s="43">
        <v>25</v>
      </c>
      <c r="B62" s="100">
        <v>23</v>
      </c>
      <c r="C62" s="103">
        <f t="shared" ca="1" si="1"/>
        <v>46555</v>
      </c>
      <c r="D62" s="19">
        <f t="shared" si="2"/>
        <v>4166.6665499999999</v>
      </c>
      <c r="E62" s="20">
        <f t="shared" si="3"/>
        <v>4989.9998602799997</v>
      </c>
      <c r="F62" s="20">
        <f t="shared" si="4"/>
        <v>0.7861634999999999</v>
      </c>
      <c r="G62" s="208">
        <f t="shared" si="0"/>
        <v>9157.4525737799995</v>
      </c>
      <c r="H62" s="208"/>
      <c r="I62" s="3"/>
      <c r="J62" s="3"/>
      <c r="K62" s="38"/>
      <c r="L62" s="38"/>
      <c r="M62" s="38"/>
      <c r="N62" s="38"/>
      <c r="O62" s="38"/>
      <c r="P62" s="38"/>
      <c r="Q62" s="38"/>
      <c r="R62" s="38"/>
      <c r="S62" s="38"/>
    </row>
    <row r="63" spans="1:27" s="4" customFormat="1" x14ac:dyDescent="0.2">
      <c r="A63" s="43"/>
      <c r="B63" s="100">
        <v>24</v>
      </c>
      <c r="C63" s="103">
        <f t="shared" ca="1" si="1"/>
        <v>46585</v>
      </c>
      <c r="D63" s="19">
        <f t="shared" si="2"/>
        <v>4166.6665499999999</v>
      </c>
      <c r="E63" s="20">
        <f t="shared" si="3"/>
        <v>4989.9998602799997</v>
      </c>
      <c r="F63" s="20">
        <f t="shared" si="4"/>
        <v>0.7861634999999999</v>
      </c>
      <c r="G63" s="208">
        <f t="shared" si="0"/>
        <v>9157.4525737799995</v>
      </c>
      <c r="H63" s="208"/>
      <c r="I63" s="3"/>
      <c r="J63" s="3"/>
      <c r="K63" s="38"/>
      <c r="L63" s="38"/>
      <c r="M63" s="38"/>
      <c r="N63" s="38"/>
      <c r="O63" s="38"/>
      <c r="P63" s="38"/>
      <c r="Q63" s="38"/>
      <c r="R63" s="38"/>
      <c r="S63" s="38"/>
    </row>
    <row r="64" spans="1:27" s="4" customFormat="1" x14ac:dyDescent="0.2">
      <c r="A64" s="43"/>
      <c r="B64" s="100">
        <v>25</v>
      </c>
      <c r="C64" s="103">
        <f t="shared" ca="1" si="1"/>
        <v>46616</v>
      </c>
      <c r="D64" s="19">
        <f t="shared" si="2"/>
        <v>0</v>
      </c>
      <c r="E64" s="20">
        <f t="shared" si="3"/>
        <v>0</v>
      </c>
      <c r="F64" s="20">
        <f t="shared" si="4"/>
        <v>0</v>
      </c>
      <c r="G64" s="208">
        <f t="shared" si="0"/>
        <v>0</v>
      </c>
      <c r="H64" s="208"/>
      <c r="I64" s="3"/>
      <c r="J64" s="3"/>
      <c r="K64" s="38"/>
      <c r="L64" s="38"/>
      <c r="M64" s="38"/>
      <c r="N64" s="38"/>
      <c r="O64" s="38"/>
      <c r="P64" s="38"/>
      <c r="Q64" s="38"/>
      <c r="R64" s="38"/>
      <c r="S64" s="38"/>
    </row>
    <row r="65" spans="1:19" s="4" customFormat="1" x14ac:dyDescent="0.2">
      <c r="A65" s="43"/>
      <c r="B65" s="100">
        <v>26</v>
      </c>
      <c r="C65" s="103">
        <f t="shared" ca="1" si="1"/>
        <v>46647</v>
      </c>
      <c r="D65" s="19">
        <f t="shared" si="2"/>
        <v>0</v>
      </c>
      <c r="E65" s="20">
        <f t="shared" si="3"/>
        <v>0</v>
      </c>
      <c r="F65" s="20">
        <f t="shared" si="4"/>
        <v>0</v>
      </c>
      <c r="G65" s="208">
        <f t="shared" si="0"/>
        <v>0</v>
      </c>
      <c r="H65" s="208"/>
      <c r="I65" s="3"/>
      <c r="J65" s="3"/>
      <c r="K65" s="38"/>
      <c r="L65" s="38"/>
      <c r="M65" s="38"/>
      <c r="N65" s="38"/>
      <c r="O65" s="38"/>
      <c r="P65" s="38"/>
      <c r="Q65" s="38"/>
      <c r="R65" s="38"/>
      <c r="S65" s="38"/>
    </row>
    <row r="66" spans="1:19" s="4" customFormat="1" x14ac:dyDescent="0.2">
      <c r="A66" s="43"/>
      <c r="B66" s="100">
        <v>27</v>
      </c>
      <c r="C66" s="103">
        <f t="shared" ca="1" si="1"/>
        <v>46677</v>
      </c>
      <c r="D66" s="19">
        <f t="shared" si="2"/>
        <v>0</v>
      </c>
      <c r="E66" s="20">
        <f t="shared" si="3"/>
        <v>0</v>
      </c>
      <c r="F66" s="20">
        <f t="shared" si="4"/>
        <v>0</v>
      </c>
      <c r="G66" s="208">
        <f t="shared" si="0"/>
        <v>0</v>
      </c>
      <c r="H66" s="208"/>
      <c r="I66" s="3"/>
      <c r="J66" s="3"/>
      <c r="K66" s="38"/>
      <c r="L66" s="38"/>
      <c r="M66" s="38"/>
      <c r="N66" s="38"/>
      <c r="O66" s="38"/>
      <c r="P66" s="38"/>
      <c r="Q66" s="38"/>
      <c r="R66" s="38"/>
      <c r="S66" s="38"/>
    </row>
    <row r="67" spans="1:19" s="4" customFormat="1" x14ac:dyDescent="0.2">
      <c r="A67" s="43"/>
      <c r="B67" s="100">
        <v>28</v>
      </c>
      <c r="C67" s="103">
        <f t="shared" ca="1" si="1"/>
        <v>46708</v>
      </c>
      <c r="D67" s="19">
        <f t="shared" si="2"/>
        <v>0</v>
      </c>
      <c r="E67" s="20">
        <f t="shared" si="3"/>
        <v>0</v>
      </c>
      <c r="F67" s="20">
        <f t="shared" si="4"/>
        <v>0</v>
      </c>
      <c r="G67" s="208">
        <f t="shared" si="0"/>
        <v>0</v>
      </c>
      <c r="H67" s="208"/>
      <c r="I67" s="3"/>
      <c r="J67" s="3"/>
      <c r="K67" s="38"/>
      <c r="L67" s="38"/>
      <c r="M67" s="38"/>
      <c r="N67" s="38"/>
      <c r="O67" s="38"/>
      <c r="P67" s="38"/>
      <c r="Q67" s="38"/>
      <c r="R67" s="38"/>
      <c r="S67" s="38"/>
    </row>
    <row r="68" spans="1:19" s="4" customFormat="1" x14ac:dyDescent="0.2">
      <c r="A68" s="43"/>
      <c r="B68" s="100">
        <v>29</v>
      </c>
      <c r="C68" s="103">
        <f t="shared" ca="1" si="1"/>
        <v>46738</v>
      </c>
      <c r="D68" s="19">
        <f t="shared" si="2"/>
        <v>0</v>
      </c>
      <c r="E68" s="20">
        <f t="shared" si="3"/>
        <v>0</v>
      </c>
      <c r="F68" s="20">
        <f t="shared" si="4"/>
        <v>0</v>
      </c>
      <c r="G68" s="208">
        <f t="shared" si="0"/>
        <v>0</v>
      </c>
      <c r="H68" s="208"/>
      <c r="I68" s="3"/>
      <c r="J68" s="3"/>
      <c r="K68" s="38"/>
      <c r="L68" s="38"/>
      <c r="M68" s="38"/>
      <c r="N68" s="38"/>
      <c r="O68" s="38"/>
      <c r="P68" s="38"/>
      <c r="Q68" s="38"/>
      <c r="R68" s="38"/>
      <c r="S68" s="38"/>
    </row>
    <row r="69" spans="1:19" s="4" customFormat="1" x14ac:dyDescent="0.2">
      <c r="A69" s="43">
        <v>25</v>
      </c>
      <c r="B69" s="100">
        <v>30</v>
      </c>
      <c r="C69" s="103">
        <f t="shared" ca="1" si="1"/>
        <v>46769</v>
      </c>
      <c r="D69" s="19">
        <f t="shared" si="2"/>
        <v>0</v>
      </c>
      <c r="E69" s="20">
        <f t="shared" si="3"/>
        <v>0</v>
      </c>
      <c r="F69" s="20">
        <f t="shared" si="4"/>
        <v>0</v>
      </c>
      <c r="G69" s="208">
        <f t="shared" si="0"/>
        <v>0</v>
      </c>
      <c r="H69" s="208"/>
      <c r="I69" s="104"/>
      <c r="J69" s="104"/>
      <c r="K69" s="38"/>
      <c r="L69" s="38"/>
      <c r="M69" s="38"/>
      <c r="N69" s="38"/>
      <c r="O69" s="38"/>
      <c r="P69" s="38"/>
      <c r="Q69" s="38"/>
      <c r="R69" s="38"/>
      <c r="S69" s="38"/>
    </row>
    <row r="70" spans="1:19" s="4" customFormat="1" x14ac:dyDescent="0.2">
      <c r="A70" s="43"/>
      <c r="B70" s="100">
        <v>31</v>
      </c>
      <c r="C70" s="103">
        <f t="shared" ca="1" si="1"/>
        <v>46800</v>
      </c>
      <c r="D70" s="19">
        <f t="shared" si="2"/>
        <v>0</v>
      </c>
      <c r="E70" s="20">
        <f t="shared" si="3"/>
        <v>0</v>
      </c>
      <c r="F70" s="20">
        <f t="shared" si="4"/>
        <v>0</v>
      </c>
      <c r="G70" s="208">
        <f t="shared" si="0"/>
        <v>0</v>
      </c>
      <c r="H70" s="208"/>
      <c r="I70" s="104"/>
      <c r="J70" s="104"/>
      <c r="K70" s="38"/>
      <c r="L70" s="38"/>
      <c r="M70" s="38"/>
      <c r="N70" s="38"/>
      <c r="O70" s="38"/>
      <c r="P70" s="38"/>
      <c r="Q70" s="38"/>
      <c r="R70" s="38"/>
      <c r="S70" s="38"/>
    </row>
    <row r="71" spans="1:19" s="4" customFormat="1" x14ac:dyDescent="0.2">
      <c r="A71" s="43"/>
      <c r="B71" s="100">
        <v>32</v>
      </c>
      <c r="C71" s="103">
        <f t="shared" ca="1" si="1"/>
        <v>46829</v>
      </c>
      <c r="D71" s="19">
        <f t="shared" si="2"/>
        <v>0</v>
      </c>
      <c r="E71" s="20">
        <f t="shared" si="3"/>
        <v>0</v>
      </c>
      <c r="F71" s="20">
        <f t="shared" si="4"/>
        <v>0</v>
      </c>
      <c r="G71" s="208">
        <f t="shared" si="0"/>
        <v>0</v>
      </c>
      <c r="H71" s="208"/>
      <c r="I71" s="104"/>
      <c r="J71" s="104"/>
      <c r="K71" s="38"/>
      <c r="L71" s="38"/>
      <c r="M71" s="38"/>
      <c r="N71" s="38"/>
      <c r="O71" s="38"/>
      <c r="P71" s="38"/>
      <c r="Q71" s="38"/>
      <c r="R71" s="38"/>
      <c r="S71" s="38"/>
    </row>
    <row r="72" spans="1:19" s="4" customFormat="1" x14ac:dyDescent="0.2">
      <c r="A72" s="43"/>
      <c r="B72" s="100">
        <v>33</v>
      </c>
      <c r="C72" s="103">
        <f t="shared" ca="1" si="1"/>
        <v>46860</v>
      </c>
      <c r="D72" s="19">
        <f t="shared" si="2"/>
        <v>0</v>
      </c>
      <c r="E72" s="20">
        <f t="shared" si="3"/>
        <v>0</v>
      </c>
      <c r="F72" s="20">
        <f t="shared" si="4"/>
        <v>0</v>
      </c>
      <c r="G72" s="208">
        <f t="shared" ref="G72:G99" si="5">IF(B$40&lt;=F$21,D72+E72+F72,0)</f>
        <v>0</v>
      </c>
      <c r="H72" s="208"/>
      <c r="I72" s="104"/>
      <c r="J72" s="104"/>
      <c r="K72" s="38"/>
      <c r="L72" s="38"/>
      <c r="M72" s="38"/>
      <c r="N72" s="38"/>
      <c r="O72" s="38"/>
      <c r="P72" s="38"/>
      <c r="Q72" s="38"/>
      <c r="R72" s="38"/>
      <c r="S72" s="38"/>
    </row>
    <row r="73" spans="1:19" s="4" customFormat="1" x14ac:dyDescent="0.2">
      <c r="A73" s="43"/>
      <c r="B73" s="100">
        <v>34</v>
      </c>
      <c r="C73" s="103">
        <f t="shared" ca="1" si="1"/>
        <v>46890</v>
      </c>
      <c r="D73" s="19">
        <f t="shared" si="2"/>
        <v>0</v>
      </c>
      <c r="E73" s="20">
        <f t="shared" si="3"/>
        <v>0</v>
      </c>
      <c r="F73" s="20">
        <f t="shared" si="4"/>
        <v>0</v>
      </c>
      <c r="G73" s="208">
        <f t="shared" si="5"/>
        <v>0</v>
      </c>
      <c r="H73" s="208"/>
      <c r="I73" s="104"/>
      <c r="J73" s="104"/>
      <c r="K73" s="38"/>
      <c r="L73" s="38"/>
      <c r="M73" s="38"/>
      <c r="N73" s="38"/>
      <c r="O73" s="38"/>
      <c r="P73" s="38"/>
      <c r="Q73" s="38"/>
      <c r="R73" s="38"/>
      <c r="S73" s="38"/>
    </row>
    <row r="74" spans="1:19" s="4" customFormat="1" x14ac:dyDescent="0.2">
      <c r="A74" s="43"/>
      <c r="B74" s="100">
        <v>35</v>
      </c>
      <c r="C74" s="103">
        <f t="shared" ca="1" si="1"/>
        <v>46921</v>
      </c>
      <c r="D74" s="19">
        <f t="shared" si="2"/>
        <v>0</v>
      </c>
      <c r="E74" s="20">
        <f t="shared" si="3"/>
        <v>0</v>
      </c>
      <c r="F74" s="20">
        <f t="shared" si="4"/>
        <v>0</v>
      </c>
      <c r="G74" s="208">
        <f t="shared" si="5"/>
        <v>0</v>
      </c>
      <c r="H74" s="208"/>
      <c r="I74" s="104"/>
      <c r="J74" s="104"/>
      <c r="K74" s="38"/>
      <c r="L74" s="38"/>
      <c r="M74" s="38"/>
      <c r="N74" s="38"/>
      <c r="O74" s="38"/>
      <c r="P74" s="38"/>
      <c r="Q74" s="38"/>
      <c r="R74" s="38"/>
      <c r="S74" s="38"/>
    </row>
    <row r="75" spans="1:19" s="4" customFormat="1" x14ac:dyDescent="0.2">
      <c r="A75" s="43"/>
      <c r="B75" s="100">
        <v>36</v>
      </c>
      <c r="C75" s="103">
        <f t="shared" ca="1" si="1"/>
        <v>46951</v>
      </c>
      <c r="D75" s="19">
        <f t="shared" si="2"/>
        <v>0</v>
      </c>
      <c r="E75" s="20">
        <f t="shared" si="3"/>
        <v>0</v>
      </c>
      <c r="F75" s="20">
        <f t="shared" si="4"/>
        <v>0</v>
      </c>
      <c r="G75" s="208">
        <f t="shared" si="5"/>
        <v>0</v>
      </c>
      <c r="H75" s="208"/>
      <c r="I75" s="104"/>
      <c r="J75" s="104"/>
      <c r="K75" s="38"/>
      <c r="L75" s="38"/>
      <c r="M75" s="38"/>
      <c r="N75" s="38"/>
      <c r="O75" s="38"/>
      <c r="P75" s="38"/>
      <c r="Q75" s="38"/>
      <c r="R75" s="38"/>
      <c r="S75" s="38"/>
    </row>
    <row r="76" spans="1:19" s="4" customFormat="1" x14ac:dyDescent="0.2">
      <c r="A76" s="43"/>
      <c r="B76" s="100">
        <v>37</v>
      </c>
      <c r="C76" s="103">
        <f t="shared" ca="1" si="1"/>
        <v>46982</v>
      </c>
      <c r="D76" s="19">
        <f t="shared" si="2"/>
        <v>0</v>
      </c>
      <c r="E76" s="20">
        <f t="shared" si="3"/>
        <v>0</v>
      </c>
      <c r="F76" s="20">
        <f t="shared" si="4"/>
        <v>0</v>
      </c>
      <c r="G76" s="208">
        <f t="shared" si="5"/>
        <v>0</v>
      </c>
      <c r="H76" s="208"/>
      <c r="I76" s="104"/>
      <c r="J76" s="104"/>
      <c r="K76" s="38"/>
      <c r="L76" s="38"/>
      <c r="M76" s="38"/>
      <c r="N76" s="38"/>
      <c r="O76" s="38"/>
      <c r="P76" s="38"/>
      <c r="Q76" s="38"/>
      <c r="R76" s="38"/>
      <c r="S76" s="38"/>
    </row>
    <row r="77" spans="1:19" s="4" customFormat="1" x14ac:dyDescent="0.2">
      <c r="A77" s="43"/>
      <c r="B77" s="100">
        <v>38</v>
      </c>
      <c r="C77" s="103">
        <f t="shared" ca="1" si="1"/>
        <v>47013</v>
      </c>
      <c r="D77" s="19">
        <f t="shared" si="2"/>
        <v>0</v>
      </c>
      <c r="E77" s="20">
        <f t="shared" si="3"/>
        <v>0</v>
      </c>
      <c r="F77" s="20">
        <f t="shared" si="4"/>
        <v>0</v>
      </c>
      <c r="G77" s="208">
        <f t="shared" si="5"/>
        <v>0</v>
      </c>
      <c r="H77" s="208"/>
      <c r="I77" s="104"/>
      <c r="J77" s="104"/>
      <c r="K77" s="38"/>
      <c r="L77" s="38"/>
      <c r="M77" s="38"/>
      <c r="N77" s="38"/>
      <c r="O77" s="38"/>
      <c r="P77" s="38"/>
      <c r="Q77" s="38"/>
      <c r="R77" s="38"/>
      <c r="S77" s="38"/>
    </row>
    <row r="78" spans="1:19" s="4" customFormat="1" x14ac:dyDescent="0.2">
      <c r="A78" s="43"/>
      <c r="B78" s="100">
        <v>39</v>
      </c>
      <c r="C78" s="103">
        <f t="shared" ca="1" si="1"/>
        <v>47043</v>
      </c>
      <c r="D78" s="19">
        <f t="shared" si="2"/>
        <v>0</v>
      </c>
      <c r="E78" s="20">
        <f t="shared" si="3"/>
        <v>0</v>
      </c>
      <c r="F78" s="20">
        <f t="shared" si="4"/>
        <v>0</v>
      </c>
      <c r="G78" s="208">
        <f t="shared" si="5"/>
        <v>0</v>
      </c>
      <c r="H78" s="208"/>
      <c r="I78" s="104"/>
      <c r="J78" s="104"/>
      <c r="K78" s="38"/>
      <c r="L78" s="38"/>
      <c r="M78" s="38"/>
      <c r="N78" s="38"/>
      <c r="O78" s="38"/>
      <c r="P78" s="38"/>
      <c r="Q78" s="38"/>
      <c r="R78" s="38"/>
      <c r="S78" s="38"/>
    </row>
    <row r="79" spans="1:19" s="4" customFormat="1" x14ac:dyDescent="0.2">
      <c r="A79" s="43"/>
      <c r="B79" s="100">
        <v>40</v>
      </c>
      <c r="C79" s="103">
        <f t="shared" ca="1" si="1"/>
        <v>47074</v>
      </c>
      <c r="D79" s="19">
        <f t="shared" si="2"/>
        <v>0</v>
      </c>
      <c r="E79" s="20">
        <f t="shared" si="3"/>
        <v>0</v>
      </c>
      <c r="F79" s="20">
        <f t="shared" si="4"/>
        <v>0</v>
      </c>
      <c r="G79" s="208">
        <f t="shared" si="5"/>
        <v>0</v>
      </c>
      <c r="H79" s="208"/>
      <c r="I79" s="104"/>
      <c r="J79" s="104"/>
      <c r="K79" s="38"/>
      <c r="L79" s="38"/>
      <c r="M79" s="38"/>
      <c r="N79" s="38"/>
      <c r="O79" s="38"/>
      <c r="P79" s="38"/>
      <c r="Q79" s="38"/>
      <c r="R79" s="38"/>
      <c r="S79" s="38"/>
    </row>
    <row r="80" spans="1:19" s="4" customFormat="1" x14ac:dyDescent="0.2">
      <c r="A80" s="43"/>
      <c r="B80" s="100">
        <v>41</v>
      </c>
      <c r="C80" s="103">
        <f t="shared" ca="1" si="1"/>
        <v>47104</v>
      </c>
      <c r="D80" s="19">
        <f t="shared" si="2"/>
        <v>0</v>
      </c>
      <c r="E80" s="20">
        <f t="shared" si="3"/>
        <v>0</v>
      </c>
      <c r="F80" s="20">
        <f t="shared" si="4"/>
        <v>0</v>
      </c>
      <c r="G80" s="208">
        <f t="shared" si="5"/>
        <v>0</v>
      </c>
      <c r="H80" s="208"/>
      <c r="I80" s="104"/>
      <c r="J80" s="104"/>
      <c r="K80" s="38"/>
      <c r="L80" s="38"/>
      <c r="M80" s="38"/>
      <c r="N80" s="38"/>
      <c r="O80" s="38"/>
      <c r="P80" s="38"/>
      <c r="Q80" s="38"/>
      <c r="R80" s="38"/>
      <c r="S80" s="38"/>
    </row>
    <row r="81" spans="1:19" s="4" customFormat="1" x14ac:dyDescent="0.2">
      <c r="A81" s="43"/>
      <c r="B81" s="100">
        <v>42</v>
      </c>
      <c r="C81" s="103">
        <f t="shared" ca="1" si="1"/>
        <v>47135</v>
      </c>
      <c r="D81" s="19">
        <f t="shared" si="2"/>
        <v>0</v>
      </c>
      <c r="E81" s="20">
        <f t="shared" si="3"/>
        <v>0</v>
      </c>
      <c r="F81" s="20">
        <f t="shared" si="4"/>
        <v>0</v>
      </c>
      <c r="G81" s="208">
        <f t="shared" si="5"/>
        <v>0</v>
      </c>
      <c r="H81" s="208"/>
      <c r="I81" s="104"/>
      <c r="J81" s="104"/>
      <c r="K81" s="38"/>
      <c r="L81" s="38"/>
      <c r="M81" s="38"/>
      <c r="N81" s="38"/>
      <c r="O81" s="38"/>
      <c r="P81" s="38"/>
      <c r="Q81" s="38"/>
      <c r="R81" s="38"/>
      <c r="S81" s="38"/>
    </row>
    <row r="82" spans="1:19" s="4" customFormat="1" x14ac:dyDescent="0.2">
      <c r="A82" s="43"/>
      <c r="B82" s="100">
        <v>43</v>
      </c>
      <c r="C82" s="103">
        <f t="shared" ca="1" si="1"/>
        <v>47166</v>
      </c>
      <c r="D82" s="19">
        <f t="shared" si="2"/>
        <v>0</v>
      </c>
      <c r="E82" s="20">
        <f t="shared" si="3"/>
        <v>0</v>
      </c>
      <c r="F82" s="20">
        <f t="shared" si="4"/>
        <v>0</v>
      </c>
      <c r="G82" s="208">
        <f t="shared" si="5"/>
        <v>0</v>
      </c>
      <c r="H82" s="208"/>
      <c r="I82" s="104"/>
      <c r="J82" s="104"/>
      <c r="K82" s="38"/>
      <c r="L82" s="38"/>
      <c r="M82" s="38"/>
      <c r="N82" s="38"/>
      <c r="O82" s="38"/>
      <c r="P82" s="38"/>
      <c r="Q82" s="38"/>
      <c r="R82" s="38"/>
      <c r="S82" s="38"/>
    </row>
    <row r="83" spans="1:19" s="4" customFormat="1" x14ac:dyDescent="0.2">
      <c r="A83" s="43"/>
      <c r="B83" s="100">
        <v>44</v>
      </c>
      <c r="C83" s="103">
        <f t="shared" ca="1" si="1"/>
        <v>47194</v>
      </c>
      <c r="D83" s="19">
        <f t="shared" si="2"/>
        <v>0</v>
      </c>
      <c r="E83" s="20">
        <f t="shared" si="3"/>
        <v>0</v>
      </c>
      <c r="F83" s="20">
        <f t="shared" si="4"/>
        <v>0</v>
      </c>
      <c r="G83" s="208">
        <f t="shared" si="5"/>
        <v>0</v>
      </c>
      <c r="H83" s="208"/>
      <c r="I83" s="104"/>
      <c r="J83" s="104"/>
      <c r="K83" s="38"/>
      <c r="L83" s="38"/>
      <c r="M83" s="38"/>
      <c r="N83" s="38"/>
      <c r="O83" s="38"/>
      <c r="P83" s="38"/>
      <c r="Q83" s="38"/>
      <c r="R83" s="38"/>
      <c r="S83" s="38"/>
    </row>
    <row r="84" spans="1:19" s="4" customFormat="1" x14ac:dyDescent="0.2">
      <c r="A84" s="43"/>
      <c r="B84" s="100">
        <v>45</v>
      </c>
      <c r="C84" s="103">
        <f t="shared" ca="1" si="1"/>
        <v>47225</v>
      </c>
      <c r="D84" s="19">
        <f t="shared" si="2"/>
        <v>0</v>
      </c>
      <c r="E84" s="20">
        <f t="shared" si="3"/>
        <v>0</v>
      </c>
      <c r="F84" s="20">
        <f t="shared" si="4"/>
        <v>0</v>
      </c>
      <c r="G84" s="208">
        <f t="shared" si="5"/>
        <v>0</v>
      </c>
      <c r="H84" s="208"/>
      <c r="I84" s="104"/>
      <c r="J84" s="104"/>
      <c r="K84" s="38"/>
      <c r="L84" s="38"/>
      <c r="M84" s="38"/>
      <c r="N84" s="38"/>
      <c r="O84" s="38"/>
      <c r="P84" s="38"/>
      <c r="Q84" s="38"/>
      <c r="R84" s="38"/>
      <c r="S84" s="38"/>
    </row>
    <row r="85" spans="1:19" s="4" customFormat="1" x14ac:dyDescent="0.2">
      <c r="A85" s="43"/>
      <c r="B85" s="100">
        <v>46</v>
      </c>
      <c r="C85" s="103">
        <f t="shared" ca="1" si="1"/>
        <v>47255</v>
      </c>
      <c r="D85" s="19">
        <f t="shared" si="2"/>
        <v>0</v>
      </c>
      <c r="E85" s="20">
        <f t="shared" si="3"/>
        <v>0</v>
      </c>
      <c r="F85" s="20">
        <f t="shared" si="4"/>
        <v>0</v>
      </c>
      <c r="G85" s="208">
        <f t="shared" si="5"/>
        <v>0</v>
      </c>
      <c r="H85" s="208"/>
      <c r="I85" s="104"/>
      <c r="J85" s="104"/>
      <c r="K85" s="38"/>
      <c r="L85" s="38"/>
      <c r="M85" s="38"/>
      <c r="N85" s="38"/>
      <c r="O85" s="38"/>
      <c r="P85" s="38"/>
      <c r="Q85" s="38"/>
      <c r="R85" s="38"/>
      <c r="S85" s="38"/>
    </row>
    <row r="86" spans="1:19" s="4" customFormat="1" x14ac:dyDescent="0.2">
      <c r="A86" s="43"/>
      <c r="B86" s="100">
        <v>47</v>
      </c>
      <c r="C86" s="103">
        <f t="shared" ca="1" si="1"/>
        <v>47286</v>
      </c>
      <c r="D86" s="19">
        <f t="shared" si="2"/>
        <v>0</v>
      </c>
      <c r="E86" s="20">
        <f t="shared" si="3"/>
        <v>0</v>
      </c>
      <c r="F86" s="20">
        <f t="shared" si="4"/>
        <v>0</v>
      </c>
      <c r="G86" s="208">
        <f t="shared" si="5"/>
        <v>0</v>
      </c>
      <c r="H86" s="208"/>
      <c r="I86" s="104"/>
      <c r="J86" s="104"/>
      <c r="K86" s="38"/>
      <c r="L86" s="38"/>
      <c r="M86" s="38"/>
      <c r="N86" s="38"/>
      <c r="O86" s="38"/>
      <c r="P86" s="38"/>
      <c r="Q86" s="38"/>
      <c r="R86" s="38"/>
      <c r="S86" s="38"/>
    </row>
    <row r="87" spans="1:19" s="4" customFormat="1" x14ac:dyDescent="0.2">
      <c r="A87" s="43"/>
      <c r="B87" s="100">
        <v>48</v>
      </c>
      <c r="C87" s="103">
        <f t="shared" ca="1" si="1"/>
        <v>47316</v>
      </c>
      <c r="D87" s="19">
        <f t="shared" si="2"/>
        <v>0</v>
      </c>
      <c r="E87" s="20">
        <f t="shared" si="3"/>
        <v>0</v>
      </c>
      <c r="F87" s="20">
        <f t="shared" si="4"/>
        <v>0</v>
      </c>
      <c r="G87" s="208">
        <f t="shared" si="5"/>
        <v>0</v>
      </c>
      <c r="H87" s="208"/>
      <c r="I87" s="104"/>
      <c r="J87" s="104"/>
      <c r="K87" s="38"/>
      <c r="L87" s="38"/>
      <c r="M87" s="38"/>
      <c r="N87" s="38"/>
      <c r="O87" s="38"/>
      <c r="P87" s="38"/>
      <c r="Q87" s="38"/>
      <c r="R87" s="38"/>
      <c r="S87" s="38"/>
    </row>
    <row r="88" spans="1:19" s="4" customFormat="1" ht="13.5" thickBot="1" x14ac:dyDescent="0.25">
      <c r="A88" s="43"/>
      <c r="B88" s="100">
        <v>49</v>
      </c>
      <c r="C88" s="103">
        <f t="shared" ca="1" si="1"/>
        <v>47347</v>
      </c>
      <c r="D88" s="180">
        <f t="shared" ref="D88:D99" si="6">IF(B88&lt;=$F$21,(($F$5+F$15)+(($F$5+F$15)*F$11))/$F$21,0)</f>
        <v>0</v>
      </c>
      <c r="E88" s="181">
        <f t="shared" si="3"/>
        <v>0</v>
      </c>
      <c r="F88" s="181">
        <f t="shared" si="4"/>
        <v>0</v>
      </c>
      <c r="G88" s="215">
        <f t="shared" si="5"/>
        <v>0</v>
      </c>
      <c r="H88" s="216"/>
      <c r="I88" s="104"/>
      <c r="J88" s="104"/>
      <c r="K88" s="38"/>
      <c r="L88" s="38"/>
      <c r="M88" s="38"/>
      <c r="N88" s="38"/>
      <c r="O88" s="38"/>
      <c r="P88" s="38"/>
      <c r="Q88" s="38"/>
      <c r="R88" s="38"/>
      <c r="S88" s="38"/>
    </row>
    <row r="89" spans="1:19" s="4" customFormat="1" ht="13.5" thickBot="1" x14ac:dyDescent="0.25">
      <c r="A89" s="43"/>
      <c r="B89" s="100">
        <v>50</v>
      </c>
      <c r="C89" s="103">
        <f t="shared" ca="1" si="1"/>
        <v>47378</v>
      </c>
      <c r="D89" s="107">
        <f t="shared" si="6"/>
        <v>0</v>
      </c>
      <c r="E89" s="108">
        <f t="shared" si="3"/>
        <v>0</v>
      </c>
      <c r="F89" s="108">
        <f t="shared" si="4"/>
        <v>0</v>
      </c>
      <c r="G89" s="209">
        <f t="shared" si="5"/>
        <v>0</v>
      </c>
      <c r="H89" s="210"/>
      <c r="I89" s="104"/>
      <c r="J89" s="104"/>
      <c r="K89" s="38"/>
      <c r="L89" s="38"/>
      <c r="M89" s="38"/>
      <c r="N89" s="38"/>
      <c r="O89" s="38"/>
      <c r="P89" s="38"/>
      <c r="Q89" s="38"/>
      <c r="R89" s="38"/>
      <c r="S89" s="38"/>
    </row>
    <row r="90" spans="1:19" s="4" customFormat="1" ht="13.5" thickBot="1" x14ac:dyDescent="0.25">
      <c r="A90" s="43"/>
      <c r="B90" s="100">
        <v>51</v>
      </c>
      <c r="C90" s="103">
        <f t="shared" ca="1" si="1"/>
        <v>47408</v>
      </c>
      <c r="D90" s="107">
        <f t="shared" si="6"/>
        <v>0</v>
      </c>
      <c r="E90" s="108">
        <f t="shared" si="3"/>
        <v>0</v>
      </c>
      <c r="F90" s="108">
        <f t="shared" si="4"/>
        <v>0</v>
      </c>
      <c r="G90" s="209">
        <f t="shared" si="5"/>
        <v>0</v>
      </c>
      <c r="H90" s="210"/>
      <c r="I90" s="104"/>
      <c r="J90" s="104"/>
      <c r="K90" s="38"/>
      <c r="L90" s="38"/>
      <c r="M90" s="38"/>
      <c r="N90" s="38"/>
      <c r="O90" s="38"/>
      <c r="P90" s="38"/>
      <c r="Q90" s="38"/>
      <c r="R90" s="38"/>
      <c r="S90" s="38"/>
    </row>
    <row r="91" spans="1:19" s="4" customFormat="1" ht="13.5" thickBot="1" x14ac:dyDescent="0.25">
      <c r="A91" s="43"/>
      <c r="B91" s="100">
        <v>52</v>
      </c>
      <c r="C91" s="103">
        <f t="shared" ca="1" si="1"/>
        <v>47439</v>
      </c>
      <c r="D91" s="107">
        <f t="shared" si="6"/>
        <v>0</v>
      </c>
      <c r="E91" s="108">
        <f t="shared" si="3"/>
        <v>0</v>
      </c>
      <c r="F91" s="108">
        <f t="shared" si="4"/>
        <v>0</v>
      </c>
      <c r="G91" s="209">
        <f t="shared" si="5"/>
        <v>0</v>
      </c>
      <c r="H91" s="210"/>
      <c r="I91" s="104"/>
      <c r="J91" s="104"/>
      <c r="K91" s="38"/>
      <c r="L91" s="38"/>
      <c r="M91" s="38"/>
      <c r="N91" s="38"/>
      <c r="O91" s="38"/>
      <c r="P91" s="38"/>
      <c r="Q91" s="38"/>
      <c r="R91" s="38"/>
      <c r="S91" s="38"/>
    </row>
    <row r="92" spans="1:19" s="4" customFormat="1" ht="13.5" thickBot="1" x14ac:dyDescent="0.25">
      <c r="A92" s="43"/>
      <c r="B92" s="100">
        <v>53</v>
      </c>
      <c r="C92" s="103">
        <f t="shared" ca="1" si="1"/>
        <v>47469</v>
      </c>
      <c r="D92" s="107">
        <f t="shared" si="6"/>
        <v>0</v>
      </c>
      <c r="E92" s="108">
        <f t="shared" si="3"/>
        <v>0</v>
      </c>
      <c r="F92" s="108">
        <f t="shared" si="4"/>
        <v>0</v>
      </c>
      <c r="G92" s="209">
        <f t="shared" si="5"/>
        <v>0</v>
      </c>
      <c r="H92" s="210"/>
      <c r="I92" s="104"/>
      <c r="J92" s="104"/>
      <c r="K92" s="38"/>
      <c r="L92" s="38"/>
      <c r="M92" s="38"/>
      <c r="N92" s="38"/>
      <c r="O92" s="38"/>
      <c r="P92" s="38"/>
      <c r="Q92" s="38"/>
      <c r="R92" s="38"/>
      <c r="S92" s="38"/>
    </row>
    <row r="93" spans="1:19" s="4" customFormat="1" ht="13.5" thickBot="1" x14ac:dyDescent="0.25">
      <c r="A93" s="43"/>
      <c r="B93" s="100">
        <v>54</v>
      </c>
      <c r="C93" s="103">
        <f t="shared" ca="1" si="1"/>
        <v>47500</v>
      </c>
      <c r="D93" s="107">
        <f t="shared" si="6"/>
        <v>0</v>
      </c>
      <c r="E93" s="108">
        <f t="shared" si="3"/>
        <v>0</v>
      </c>
      <c r="F93" s="108">
        <f t="shared" si="4"/>
        <v>0</v>
      </c>
      <c r="G93" s="209">
        <f t="shared" si="5"/>
        <v>0</v>
      </c>
      <c r="H93" s="210"/>
      <c r="I93" s="104"/>
      <c r="J93" s="104"/>
      <c r="K93" s="38"/>
      <c r="L93" s="38"/>
      <c r="M93" s="38"/>
      <c r="N93" s="38"/>
      <c r="O93" s="38"/>
      <c r="P93" s="38"/>
      <c r="Q93" s="38"/>
      <c r="R93" s="38"/>
      <c r="S93" s="38"/>
    </row>
    <row r="94" spans="1:19" s="4" customFormat="1" ht="13.5" thickBot="1" x14ac:dyDescent="0.25">
      <c r="A94" s="43"/>
      <c r="B94" s="100">
        <v>55</v>
      </c>
      <c r="C94" s="103">
        <f t="shared" ca="1" si="1"/>
        <v>47531</v>
      </c>
      <c r="D94" s="107">
        <f t="shared" si="6"/>
        <v>0</v>
      </c>
      <c r="E94" s="108">
        <f t="shared" si="3"/>
        <v>0</v>
      </c>
      <c r="F94" s="108">
        <f t="shared" si="4"/>
        <v>0</v>
      </c>
      <c r="G94" s="209">
        <f t="shared" si="5"/>
        <v>0</v>
      </c>
      <c r="H94" s="210"/>
      <c r="I94" s="104"/>
      <c r="J94" s="104"/>
      <c r="K94" s="38"/>
      <c r="L94" s="38"/>
      <c r="M94" s="38"/>
      <c r="N94" s="38"/>
      <c r="O94" s="38"/>
      <c r="P94" s="38"/>
      <c r="Q94" s="38"/>
      <c r="R94" s="38"/>
      <c r="S94" s="38"/>
    </row>
    <row r="95" spans="1:19" s="4" customFormat="1" ht="13.5" thickBot="1" x14ac:dyDescent="0.25">
      <c r="A95" s="43"/>
      <c r="B95" s="100">
        <v>56</v>
      </c>
      <c r="C95" s="103">
        <f t="shared" ca="1" si="1"/>
        <v>47559</v>
      </c>
      <c r="D95" s="107">
        <f t="shared" si="6"/>
        <v>0</v>
      </c>
      <c r="E95" s="108">
        <f t="shared" si="3"/>
        <v>0</v>
      </c>
      <c r="F95" s="108">
        <f t="shared" si="4"/>
        <v>0</v>
      </c>
      <c r="G95" s="209">
        <f t="shared" si="5"/>
        <v>0</v>
      </c>
      <c r="H95" s="210"/>
      <c r="I95" s="104"/>
      <c r="J95" s="104"/>
      <c r="K95" s="38"/>
      <c r="L95" s="38"/>
      <c r="M95" s="38"/>
      <c r="N95" s="38"/>
      <c r="O95" s="38"/>
      <c r="P95" s="38"/>
      <c r="Q95" s="38"/>
      <c r="R95" s="38"/>
      <c r="S95" s="38"/>
    </row>
    <row r="96" spans="1:19" s="4" customFormat="1" ht="13.5" thickBot="1" x14ac:dyDescent="0.25">
      <c r="A96" s="43"/>
      <c r="B96" s="100">
        <v>57</v>
      </c>
      <c r="C96" s="103">
        <f t="shared" ca="1" si="1"/>
        <v>47590</v>
      </c>
      <c r="D96" s="107">
        <f t="shared" si="6"/>
        <v>0</v>
      </c>
      <c r="E96" s="108">
        <f t="shared" si="3"/>
        <v>0</v>
      </c>
      <c r="F96" s="108">
        <f t="shared" si="4"/>
        <v>0</v>
      </c>
      <c r="G96" s="209">
        <f t="shared" si="5"/>
        <v>0</v>
      </c>
      <c r="H96" s="210"/>
      <c r="I96" s="104"/>
      <c r="J96" s="104"/>
      <c r="K96" s="38"/>
      <c r="L96" s="38"/>
      <c r="M96" s="38"/>
      <c r="N96" s="38"/>
      <c r="O96" s="38"/>
      <c r="P96" s="38"/>
      <c r="Q96" s="38"/>
      <c r="R96" s="38"/>
      <c r="S96" s="38"/>
    </row>
    <row r="97" spans="1:19" s="4" customFormat="1" ht="13.5" thickBot="1" x14ac:dyDescent="0.25">
      <c r="A97" s="43"/>
      <c r="B97" s="100">
        <v>58</v>
      </c>
      <c r="C97" s="103">
        <f t="shared" ca="1" si="1"/>
        <v>47620</v>
      </c>
      <c r="D97" s="107">
        <f t="shared" si="6"/>
        <v>0</v>
      </c>
      <c r="E97" s="108">
        <f t="shared" si="3"/>
        <v>0</v>
      </c>
      <c r="F97" s="108">
        <f t="shared" si="4"/>
        <v>0</v>
      </c>
      <c r="G97" s="209">
        <f t="shared" si="5"/>
        <v>0</v>
      </c>
      <c r="H97" s="210"/>
      <c r="I97" s="104"/>
      <c r="J97" s="104"/>
      <c r="K97" s="38"/>
      <c r="L97" s="38"/>
      <c r="M97" s="38"/>
      <c r="N97" s="38"/>
      <c r="O97" s="38"/>
      <c r="P97" s="38"/>
      <c r="Q97" s="38"/>
      <c r="R97" s="38"/>
      <c r="S97" s="38"/>
    </row>
    <row r="98" spans="1:19" s="4" customFormat="1" ht="13.5" thickBot="1" x14ac:dyDescent="0.25">
      <c r="A98" s="43"/>
      <c r="B98" s="100">
        <v>59</v>
      </c>
      <c r="C98" s="103">
        <f t="shared" ca="1" si="1"/>
        <v>47651</v>
      </c>
      <c r="D98" s="107">
        <f t="shared" si="6"/>
        <v>0</v>
      </c>
      <c r="E98" s="108">
        <f t="shared" si="3"/>
        <v>0</v>
      </c>
      <c r="F98" s="108">
        <f t="shared" si="4"/>
        <v>0</v>
      </c>
      <c r="G98" s="209">
        <f t="shared" si="5"/>
        <v>0</v>
      </c>
      <c r="H98" s="210"/>
      <c r="I98" s="104"/>
      <c r="J98" s="104"/>
    </row>
    <row r="99" spans="1:19" s="4" customFormat="1" ht="13.5" thickBot="1" x14ac:dyDescent="0.25">
      <c r="A99" s="43"/>
      <c r="B99" s="100">
        <v>60</v>
      </c>
      <c r="C99" s="103">
        <f t="shared" ca="1" si="1"/>
        <v>47681</v>
      </c>
      <c r="D99" s="107">
        <f t="shared" si="6"/>
        <v>0</v>
      </c>
      <c r="E99" s="108">
        <f t="shared" si="3"/>
        <v>0</v>
      </c>
      <c r="F99" s="108">
        <f t="shared" si="4"/>
        <v>0</v>
      </c>
      <c r="G99" s="209">
        <f t="shared" si="5"/>
        <v>0</v>
      </c>
      <c r="H99" s="210"/>
      <c r="I99" s="104"/>
      <c r="J99" s="104"/>
    </row>
    <row r="100" spans="1:19" s="4" customFormat="1" ht="16.5" thickBot="1" x14ac:dyDescent="0.25">
      <c r="A100" s="43"/>
      <c r="B100" s="213" t="s">
        <v>1</v>
      </c>
      <c r="C100" s="214"/>
      <c r="D100" s="93">
        <f>SUM(D40:D99)</f>
        <v>99999.997199999969</v>
      </c>
      <c r="E100" s="93">
        <f>SUM(E40:E99)</f>
        <v>74849.99790419999</v>
      </c>
      <c r="F100" s="99">
        <f>SUM(F40:F99)</f>
        <v>18.867924000000006</v>
      </c>
      <c r="G100" s="211">
        <f>SUM(G40:H99)</f>
        <v>174868.86302819999</v>
      </c>
      <c r="H100" s="212"/>
      <c r="I100" s="104"/>
      <c r="J100" s="104"/>
    </row>
    <row r="101" spans="1:19" s="4" customFormat="1" x14ac:dyDescent="0.2">
      <c r="A101" s="43"/>
      <c r="B101" s="2"/>
      <c r="C101" s="2"/>
      <c r="D101" s="2"/>
      <c r="E101" s="2"/>
      <c r="F101" s="2"/>
      <c r="G101" s="29"/>
      <c r="H101" s="28"/>
      <c r="I101" s="104"/>
      <c r="J101" s="104"/>
    </row>
    <row r="102" spans="1:19" s="4" customFormat="1" x14ac:dyDescent="0.2">
      <c r="A102" s="43"/>
      <c r="B102" s="2"/>
      <c r="C102" s="21"/>
      <c r="D102" s="22"/>
      <c r="E102" s="207" t="s">
        <v>6</v>
      </c>
      <c r="F102" s="207"/>
      <c r="G102" s="207"/>
      <c r="H102" s="28"/>
      <c r="I102" s="104"/>
      <c r="J102" s="104"/>
    </row>
    <row r="103" spans="1:19" s="4" customFormat="1" x14ac:dyDescent="0.2">
      <c r="A103" s="43"/>
      <c r="B103" s="2"/>
      <c r="C103" s="23"/>
      <c r="D103" s="2"/>
      <c r="E103" s="24" t="s">
        <v>7</v>
      </c>
      <c r="F103" s="25"/>
      <c r="G103" s="33"/>
      <c r="H103" s="28"/>
      <c r="I103" s="104"/>
      <c r="J103" s="104"/>
    </row>
    <row r="104" spans="1:19" s="4" customFormat="1" x14ac:dyDescent="0.2">
      <c r="A104" s="43"/>
      <c r="B104" s="44"/>
      <c r="C104" s="44"/>
      <c r="D104" s="44"/>
      <c r="E104" s="44"/>
      <c r="F104" s="44"/>
      <c r="G104" s="105"/>
      <c r="H104" s="45"/>
      <c r="I104" s="104"/>
      <c r="J104" s="104"/>
    </row>
    <row r="105" spans="1:19" s="4" customFormat="1" x14ac:dyDescent="0.2">
      <c r="A105" s="43"/>
      <c r="B105" s="44"/>
      <c r="C105" s="44"/>
      <c r="D105" s="44"/>
      <c r="E105" s="44"/>
      <c r="F105" s="44"/>
      <c r="G105" s="105"/>
      <c r="H105" s="45"/>
      <c r="I105" s="46"/>
      <c r="J105" s="3"/>
    </row>
    <row r="106" spans="1:19" s="4" customFormat="1" x14ac:dyDescent="0.2">
      <c r="A106" s="43"/>
      <c r="B106" s="44"/>
      <c r="C106" s="44"/>
      <c r="D106" s="44"/>
      <c r="E106" s="44"/>
      <c r="F106" s="44"/>
      <c r="G106" s="105"/>
      <c r="H106" s="45"/>
      <c r="I106" s="46"/>
      <c r="J106" s="3"/>
    </row>
    <row r="107" spans="1:19" s="4" customFormat="1" x14ac:dyDescent="0.2">
      <c r="A107" s="43"/>
      <c r="B107" s="44"/>
      <c r="C107" s="44"/>
      <c r="D107" s="44"/>
      <c r="E107" s="44"/>
      <c r="F107" s="44"/>
      <c r="G107" s="105"/>
      <c r="H107" s="45"/>
      <c r="I107" s="46"/>
      <c r="J107" s="3"/>
    </row>
  </sheetData>
  <sheetProtection algorithmName="SHA-512" hashValue="hYl2pUmSzxZzbKjXpD/FWjyzVsq8FAaoy072MNdqXxwdQ1bD5R8yI8MS8BR4Ft/cN1TlpJxI66ECYK4XYBM1WA==" saltValue="b+VW646eCNolczTUUUFfzw==" spinCount="100000" sheet="1" selectLockedCells="1"/>
  <dataConsolidate/>
  <mergeCells count="93">
    <mergeCell ref="B15:E15"/>
    <mergeCell ref="B17:E17"/>
    <mergeCell ref="A16:H16"/>
    <mergeCell ref="A18:H18"/>
    <mergeCell ref="B32:C32"/>
    <mergeCell ref="B26:E26"/>
    <mergeCell ref="B28:E28"/>
    <mergeCell ref="B30:C30"/>
    <mergeCell ref="B31:C31"/>
    <mergeCell ref="B24:E24"/>
    <mergeCell ref="B19:E19"/>
    <mergeCell ref="B21:E21"/>
    <mergeCell ref="G43:H43"/>
    <mergeCell ref="G44:H44"/>
    <mergeCell ref="G50:H50"/>
    <mergeCell ref="G48:H48"/>
    <mergeCell ref="G49:H49"/>
    <mergeCell ref="G45:H45"/>
    <mergeCell ref="G46:H46"/>
    <mergeCell ref="G47:H47"/>
    <mergeCell ref="G42:H42"/>
    <mergeCell ref="G40:H40"/>
    <mergeCell ref="G41:H41"/>
    <mergeCell ref="B33:C33"/>
    <mergeCell ref="B34:C34"/>
    <mergeCell ref="B37:H37"/>
    <mergeCell ref="B38:C38"/>
    <mergeCell ref="G38:H38"/>
    <mergeCell ref="B100:C100"/>
    <mergeCell ref="G76:H76"/>
    <mergeCell ref="G77:H77"/>
    <mergeCell ref="G78:H78"/>
    <mergeCell ref="G79:H79"/>
    <mergeCell ref="G85:H85"/>
    <mergeCell ref="G80:H80"/>
    <mergeCell ref="G81:H81"/>
    <mergeCell ref="G82:H82"/>
    <mergeCell ref="G83:H83"/>
    <mergeCell ref="G88:H88"/>
    <mergeCell ref="G89:H89"/>
    <mergeCell ref="G94:H94"/>
    <mergeCell ref="G95:H95"/>
    <mergeCell ref="G96:H96"/>
    <mergeCell ref="G56:H56"/>
    <mergeCell ref="G51:H51"/>
    <mergeCell ref="G52:H52"/>
    <mergeCell ref="G53:H53"/>
    <mergeCell ref="G57:H57"/>
    <mergeCell ref="G58:H58"/>
    <mergeCell ref="G54:H54"/>
    <mergeCell ref="G55:H55"/>
    <mergeCell ref="G92:H92"/>
    <mergeCell ref="G93:H93"/>
    <mergeCell ref="G59:H59"/>
    <mergeCell ref="G63:H63"/>
    <mergeCell ref="G64:H64"/>
    <mergeCell ref="G74:H74"/>
    <mergeCell ref="G84:H84"/>
    <mergeCell ref="G60:H60"/>
    <mergeCell ref="G75:H75"/>
    <mergeCell ref="G70:H70"/>
    <mergeCell ref="G71:H71"/>
    <mergeCell ref="G72:H72"/>
    <mergeCell ref="G73:H73"/>
    <mergeCell ref="E102:G102"/>
    <mergeCell ref="G61:H61"/>
    <mergeCell ref="G62:H62"/>
    <mergeCell ref="G69:H69"/>
    <mergeCell ref="G91:H91"/>
    <mergeCell ref="G97:H97"/>
    <mergeCell ref="G98:H98"/>
    <mergeCell ref="G68:H68"/>
    <mergeCell ref="G65:H65"/>
    <mergeCell ref="G66:H66"/>
    <mergeCell ref="G67:H67"/>
    <mergeCell ref="G99:H99"/>
    <mergeCell ref="G86:H86"/>
    <mergeCell ref="G87:H87"/>
    <mergeCell ref="G100:H100"/>
    <mergeCell ref="G90:H90"/>
    <mergeCell ref="H1:I1"/>
    <mergeCell ref="A8:I8"/>
    <mergeCell ref="A14:I14"/>
    <mergeCell ref="A12:I12"/>
    <mergeCell ref="B7:E7"/>
    <mergeCell ref="H2:I2"/>
    <mergeCell ref="F3:F4"/>
    <mergeCell ref="H3:I3"/>
    <mergeCell ref="B5:E5"/>
    <mergeCell ref="A6:H6"/>
    <mergeCell ref="B9:E9"/>
    <mergeCell ref="B11:E11"/>
    <mergeCell ref="B13:E13"/>
  </mergeCells>
  <dataValidations count="1">
    <dataValidation type="list" allowBlank="1" showInputMessage="1" showErrorMessage="1" sqref="H2:I2" xr:uid="{00000000-0002-0000-0000-000000000000}">
      <formula1>$L$7</formula1>
    </dataValidation>
  </dataValidations>
  <pageMargins left="0.39370078740157483" right="0.35433070866141736" top="0.59055118110236227" bottom="0.59055118110236227" header="0.51181102362204722" footer="0.51181102362204722"/>
  <pageSetup paperSize="9" scale="64" firstPageNumber="2" orientation="portrait" verticalDpi="300" r:id="rId1"/>
  <headerFooter alignWithMargins="0"/>
  <rowBreaks count="1" manualBreakCount="1">
    <brk id="100" max="16383" man="1"/>
  </rowBreaks>
  <colBreaks count="1" manualBreakCount="1">
    <brk id="2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55"/>
  <sheetViews>
    <sheetView topLeftCell="A25" workbookViewId="0">
      <selection activeCell="D20" sqref="D20"/>
    </sheetView>
  </sheetViews>
  <sheetFormatPr defaultRowHeight="12.75" x14ac:dyDescent="0.2"/>
  <cols>
    <col min="3" max="3" width="18.85546875" customWidth="1"/>
    <col min="4" max="4" width="46.7109375" bestFit="1" customWidth="1"/>
    <col min="5" max="5" width="100.28515625" bestFit="1" customWidth="1"/>
    <col min="11" max="11" width="27.28515625" customWidth="1"/>
  </cols>
  <sheetData>
    <row r="2" spans="2:11" x14ac:dyDescent="0.2">
      <c r="D2" s="240" t="s">
        <v>60</v>
      </c>
      <c r="E2" s="240"/>
      <c r="F2" s="240"/>
      <c r="G2" s="240"/>
      <c r="H2" s="240"/>
      <c r="I2" s="240"/>
      <c r="J2" s="240"/>
      <c r="K2" s="240"/>
    </row>
    <row r="5" spans="2:11" ht="13.15" customHeight="1" x14ac:dyDescent="0.2">
      <c r="B5" s="230" t="s">
        <v>151</v>
      </c>
      <c r="C5" s="230"/>
      <c r="D5" s="179" t="s">
        <v>154</v>
      </c>
      <c r="E5" s="179" t="s">
        <v>49</v>
      </c>
    </row>
    <row r="6" spans="2:11" ht="13.15" customHeight="1" x14ac:dyDescent="0.2">
      <c r="B6" s="231" t="s">
        <v>155</v>
      </c>
      <c r="C6" s="232"/>
      <c r="D6" s="178" t="s">
        <v>61</v>
      </c>
      <c r="E6" s="178" t="s">
        <v>62</v>
      </c>
    </row>
    <row r="7" spans="2:11" x14ac:dyDescent="0.2">
      <c r="B7" s="233"/>
      <c r="C7" s="234"/>
      <c r="D7" s="178" t="s">
        <v>63</v>
      </c>
      <c r="E7" s="178" t="s">
        <v>64</v>
      </c>
    </row>
    <row r="8" spans="2:11" x14ac:dyDescent="0.2">
      <c r="B8" s="233"/>
      <c r="C8" s="234"/>
      <c r="D8" s="178" t="s">
        <v>65</v>
      </c>
      <c r="E8" s="178" t="s">
        <v>66</v>
      </c>
    </row>
    <row r="9" spans="2:11" x14ac:dyDescent="0.2">
      <c r="B9" s="233"/>
      <c r="C9" s="234"/>
      <c r="D9" s="178" t="s">
        <v>67</v>
      </c>
      <c r="E9" s="178" t="s">
        <v>68</v>
      </c>
    </row>
    <row r="10" spans="2:11" x14ac:dyDescent="0.2">
      <c r="B10" s="233"/>
      <c r="C10" s="234"/>
      <c r="D10" s="178" t="s">
        <v>69</v>
      </c>
      <c r="E10" s="178" t="s">
        <v>57</v>
      </c>
    </row>
    <row r="11" spans="2:11" x14ac:dyDescent="0.2">
      <c r="B11" s="233"/>
      <c r="C11" s="234"/>
      <c r="D11" s="178" t="s">
        <v>70</v>
      </c>
      <c r="E11" s="178" t="s">
        <v>71</v>
      </c>
    </row>
    <row r="12" spans="2:11" x14ac:dyDescent="0.2">
      <c r="B12" s="233"/>
      <c r="C12" s="234"/>
      <c r="D12" s="178" t="s">
        <v>72</v>
      </c>
      <c r="E12" s="178" t="s">
        <v>73</v>
      </c>
    </row>
    <row r="13" spans="2:11" x14ac:dyDescent="0.2">
      <c r="B13" s="233"/>
      <c r="C13" s="234"/>
      <c r="D13" s="178" t="s">
        <v>74</v>
      </c>
      <c r="E13" s="178" t="s">
        <v>75</v>
      </c>
    </row>
    <row r="14" spans="2:11" x14ac:dyDescent="0.2">
      <c r="B14" s="233"/>
      <c r="C14" s="234"/>
      <c r="D14" s="178" t="s">
        <v>76</v>
      </c>
      <c r="E14" s="178" t="s">
        <v>77</v>
      </c>
    </row>
    <row r="15" spans="2:11" x14ac:dyDescent="0.2">
      <c r="B15" s="233"/>
      <c r="C15" s="234"/>
      <c r="D15" s="178" t="s">
        <v>78</v>
      </c>
      <c r="E15" s="178" t="s">
        <v>79</v>
      </c>
    </row>
    <row r="16" spans="2:11" x14ac:dyDescent="0.2">
      <c r="B16" s="233"/>
      <c r="C16" s="234"/>
      <c r="D16" s="178" t="s">
        <v>80</v>
      </c>
      <c r="E16" s="178" t="s">
        <v>81</v>
      </c>
    </row>
    <row r="17" spans="2:5" x14ac:dyDescent="0.2">
      <c r="B17" s="233"/>
      <c r="C17" s="234"/>
      <c r="D17" s="178" t="s">
        <v>82</v>
      </c>
      <c r="E17" s="178" t="s">
        <v>83</v>
      </c>
    </row>
    <row r="18" spans="2:5" x14ac:dyDescent="0.2">
      <c r="B18" s="233"/>
      <c r="C18" s="234"/>
      <c r="D18" s="178" t="s">
        <v>84</v>
      </c>
      <c r="E18" s="178" t="s">
        <v>85</v>
      </c>
    </row>
    <row r="19" spans="2:5" x14ac:dyDescent="0.2">
      <c r="B19" s="233"/>
      <c r="C19" s="234"/>
      <c r="D19" s="178" t="s">
        <v>86</v>
      </c>
      <c r="E19" s="178" t="s">
        <v>87</v>
      </c>
    </row>
    <row r="20" spans="2:5" x14ac:dyDescent="0.2">
      <c r="B20" s="233"/>
      <c r="C20" s="234"/>
      <c r="D20" s="178" t="s">
        <v>88</v>
      </c>
      <c r="E20" s="178" t="s">
        <v>89</v>
      </c>
    </row>
    <row r="21" spans="2:5" x14ac:dyDescent="0.2">
      <c r="B21" s="233"/>
      <c r="C21" s="234"/>
      <c r="D21" s="178" t="s">
        <v>90</v>
      </c>
      <c r="E21" s="178" t="s">
        <v>91</v>
      </c>
    </row>
    <row r="22" spans="2:5" x14ac:dyDescent="0.2">
      <c r="B22" s="233"/>
      <c r="C22" s="234"/>
      <c r="D22" s="178" t="s">
        <v>92</v>
      </c>
      <c r="E22" s="178" t="s">
        <v>93</v>
      </c>
    </row>
    <row r="23" spans="2:5" x14ac:dyDescent="0.2">
      <c r="B23" s="233"/>
      <c r="C23" s="234"/>
      <c r="D23" s="178" t="s">
        <v>94</v>
      </c>
      <c r="E23" s="178" t="s">
        <v>95</v>
      </c>
    </row>
    <row r="24" spans="2:5" x14ac:dyDescent="0.2">
      <c r="B24" s="233"/>
      <c r="C24" s="234"/>
      <c r="D24" s="178" t="s">
        <v>96</v>
      </c>
      <c r="E24" s="178" t="s">
        <v>97</v>
      </c>
    </row>
    <row r="25" spans="2:5" x14ac:dyDescent="0.2">
      <c r="B25" s="233"/>
      <c r="C25" s="234"/>
      <c r="D25" s="178" t="s">
        <v>98</v>
      </c>
      <c r="E25" s="178" t="s">
        <v>99</v>
      </c>
    </row>
    <row r="26" spans="2:5" x14ac:dyDescent="0.2">
      <c r="B26" s="233"/>
      <c r="C26" s="234"/>
      <c r="D26" s="178" t="s">
        <v>100</v>
      </c>
      <c r="E26" s="178" t="s">
        <v>101</v>
      </c>
    </row>
    <row r="27" spans="2:5" x14ac:dyDescent="0.2">
      <c r="B27" s="233"/>
      <c r="C27" s="234"/>
      <c r="D27" s="178" t="s">
        <v>102</v>
      </c>
      <c r="E27" s="178" t="s">
        <v>103</v>
      </c>
    </row>
    <row r="28" spans="2:5" x14ac:dyDescent="0.2">
      <c r="B28" s="233"/>
      <c r="C28" s="234"/>
      <c r="D28" s="178" t="s">
        <v>104</v>
      </c>
      <c r="E28" s="178" t="s">
        <v>105</v>
      </c>
    </row>
    <row r="29" spans="2:5" x14ac:dyDescent="0.2">
      <c r="B29" s="233"/>
      <c r="C29" s="234"/>
      <c r="D29" s="178" t="s">
        <v>50</v>
      </c>
      <c r="E29" s="178" t="s">
        <v>51</v>
      </c>
    </row>
    <row r="30" spans="2:5" x14ac:dyDescent="0.2">
      <c r="B30" s="233"/>
      <c r="C30" s="234"/>
      <c r="D30" s="178" t="s">
        <v>106</v>
      </c>
      <c r="E30" s="178" t="s">
        <v>107</v>
      </c>
    </row>
    <row r="31" spans="2:5" x14ac:dyDescent="0.2">
      <c r="B31" s="233"/>
      <c r="C31" s="234"/>
      <c r="D31" s="178" t="s">
        <v>108</v>
      </c>
      <c r="E31" s="178" t="s">
        <v>109</v>
      </c>
    </row>
    <row r="32" spans="2:5" x14ac:dyDescent="0.2">
      <c r="B32" s="233"/>
      <c r="C32" s="234"/>
      <c r="D32" s="178" t="s">
        <v>110</v>
      </c>
      <c r="E32" s="178" t="s">
        <v>52</v>
      </c>
    </row>
    <row r="33" spans="2:5" x14ac:dyDescent="0.2">
      <c r="B33" s="233"/>
      <c r="C33" s="234"/>
      <c r="D33" s="178" t="s">
        <v>111</v>
      </c>
      <c r="E33" s="178" t="s">
        <v>112</v>
      </c>
    </row>
    <row r="34" spans="2:5" x14ac:dyDescent="0.2">
      <c r="B34" s="233"/>
      <c r="C34" s="234"/>
      <c r="D34" s="178" t="s">
        <v>113</v>
      </c>
      <c r="E34" s="178" t="s">
        <v>114</v>
      </c>
    </row>
    <row r="35" spans="2:5" x14ac:dyDescent="0.2">
      <c r="B35" s="233"/>
      <c r="C35" s="234"/>
      <c r="D35" s="178" t="s">
        <v>117</v>
      </c>
      <c r="E35" s="178" t="s">
        <v>118</v>
      </c>
    </row>
    <row r="36" spans="2:5" x14ac:dyDescent="0.2">
      <c r="B36" s="233"/>
      <c r="C36" s="234"/>
      <c r="D36" s="178" t="s">
        <v>119</v>
      </c>
      <c r="E36" s="178" t="s">
        <v>120</v>
      </c>
    </row>
    <row r="37" spans="2:5" x14ac:dyDescent="0.2">
      <c r="B37" s="233"/>
      <c r="C37" s="234"/>
      <c r="D37" s="178" t="s">
        <v>121</v>
      </c>
      <c r="E37" s="178" t="s">
        <v>122</v>
      </c>
    </row>
    <row r="38" spans="2:5" x14ac:dyDescent="0.2">
      <c r="B38" s="233"/>
      <c r="C38" s="234"/>
      <c r="D38" s="178" t="s">
        <v>123</v>
      </c>
      <c r="E38" s="178" t="s">
        <v>124</v>
      </c>
    </row>
    <row r="39" spans="2:5" x14ac:dyDescent="0.2">
      <c r="B39" s="233"/>
      <c r="C39" s="234"/>
      <c r="D39" s="178" t="s">
        <v>125</v>
      </c>
      <c r="E39" s="178" t="s">
        <v>126</v>
      </c>
    </row>
    <row r="40" spans="2:5" x14ac:dyDescent="0.2">
      <c r="B40" s="233"/>
      <c r="C40" s="234"/>
      <c r="D40" s="178" t="s">
        <v>53</v>
      </c>
      <c r="E40" s="178" t="s">
        <v>127</v>
      </c>
    </row>
    <row r="41" spans="2:5" x14ac:dyDescent="0.2">
      <c r="B41" s="233"/>
      <c r="C41" s="234"/>
      <c r="D41" s="178" t="s">
        <v>128</v>
      </c>
      <c r="E41" s="178" t="s">
        <v>129</v>
      </c>
    </row>
    <row r="42" spans="2:5" x14ac:dyDescent="0.2">
      <c r="B42" s="233"/>
      <c r="C42" s="234"/>
      <c r="D42" s="178" t="s">
        <v>130</v>
      </c>
      <c r="E42" s="178" t="s">
        <v>131</v>
      </c>
    </row>
    <row r="43" spans="2:5" x14ac:dyDescent="0.2">
      <c r="B43" s="233"/>
      <c r="C43" s="234"/>
      <c r="D43" s="178" t="s">
        <v>132</v>
      </c>
      <c r="E43" s="178" t="s">
        <v>133</v>
      </c>
    </row>
    <row r="44" spans="2:5" x14ac:dyDescent="0.2">
      <c r="B44" s="233"/>
      <c r="C44" s="234"/>
      <c r="D44" s="178" t="s">
        <v>134</v>
      </c>
      <c r="E44" s="178" t="s">
        <v>135</v>
      </c>
    </row>
    <row r="45" spans="2:5" x14ac:dyDescent="0.2">
      <c r="B45" s="233"/>
      <c r="C45" s="234"/>
      <c r="D45" s="178" t="s">
        <v>54</v>
      </c>
      <c r="E45" s="178" t="s">
        <v>55</v>
      </c>
    </row>
    <row r="46" spans="2:5" x14ac:dyDescent="0.2">
      <c r="B46" s="233"/>
      <c r="C46" s="234"/>
      <c r="D46" s="178" t="s">
        <v>136</v>
      </c>
      <c r="E46" s="178" t="s">
        <v>137</v>
      </c>
    </row>
    <row r="47" spans="2:5" x14ac:dyDescent="0.2">
      <c r="B47" s="233"/>
      <c r="C47" s="234"/>
      <c r="D47" s="178" t="s">
        <v>138</v>
      </c>
      <c r="E47" s="178" t="s">
        <v>56</v>
      </c>
    </row>
    <row r="48" spans="2:5" x14ac:dyDescent="0.2">
      <c r="B48" s="233"/>
      <c r="C48" s="234"/>
      <c r="D48" s="178" t="s">
        <v>139</v>
      </c>
      <c r="E48" s="178" t="s">
        <v>140</v>
      </c>
    </row>
    <row r="49" spans="2:5" x14ac:dyDescent="0.2">
      <c r="B49" s="233"/>
      <c r="C49" s="234"/>
      <c r="D49" s="178" t="s">
        <v>141</v>
      </c>
      <c r="E49" s="178" t="s">
        <v>142</v>
      </c>
    </row>
    <row r="50" spans="2:5" x14ac:dyDescent="0.2">
      <c r="B50" s="233"/>
      <c r="C50" s="234"/>
      <c r="D50" s="178" t="s">
        <v>145</v>
      </c>
      <c r="E50" s="178" t="s">
        <v>146</v>
      </c>
    </row>
    <row r="51" spans="2:5" x14ac:dyDescent="0.2">
      <c r="B51" s="233"/>
      <c r="C51" s="234"/>
      <c r="D51" s="178" t="s">
        <v>147</v>
      </c>
      <c r="E51" s="178" t="s">
        <v>148</v>
      </c>
    </row>
    <row r="52" spans="2:5" x14ac:dyDescent="0.2">
      <c r="B52" s="233"/>
      <c r="C52" s="234"/>
      <c r="D52" s="178" t="s">
        <v>149</v>
      </c>
      <c r="E52" s="178" t="s">
        <v>150</v>
      </c>
    </row>
    <row r="53" spans="2:5" ht="13.15" customHeight="1" x14ac:dyDescent="0.2">
      <c r="B53" s="235"/>
      <c r="C53" s="236"/>
      <c r="D53" s="178" t="s">
        <v>58</v>
      </c>
      <c r="E53" s="178" t="s">
        <v>59</v>
      </c>
    </row>
    <row r="54" spans="2:5" x14ac:dyDescent="0.2">
      <c r="B54" s="237" t="s">
        <v>152</v>
      </c>
      <c r="C54" s="238"/>
      <c r="D54" s="183" t="s">
        <v>115</v>
      </c>
      <c r="E54" s="183" t="s">
        <v>116</v>
      </c>
    </row>
    <row r="55" spans="2:5" x14ac:dyDescent="0.2">
      <c r="B55" s="239" t="s">
        <v>153</v>
      </c>
      <c r="C55" s="239"/>
      <c r="D55" s="178" t="s">
        <v>143</v>
      </c>
      <c r="E55" s="178" t="s">
        <v>144</v>
      </c>
    </row>
  </sheetData>
  <sheetProtection password="B631" sheet="1" objects="1" scenarios="1" selectLockedCells="1"/>
  <mergeCells count="5">
    <mergeCell ref="B5:C5"/>
    <mergeCell ref="B6:C53"/>
    <mergeCell ref="B54:C54"/>
    <mergeCell ref="B55:C55"/>
    <mergeCell ref="D2:K2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5"/>
  <dimension ref="A1:H32"/>
  <sheetViews>
    <sheetView zoomScale="70" zoomScaleNormal="70" workbookViewId="0">
      <selection activeCell="D32" sqref="D32"/>
    </sheetView>
  </sheetViews>
  <sheetFormatPr defaultRowHeight="12.75" x14ac:dyDescent="0.2"/>
  <cols>
    <col min="1" max="1" width="48" customWidth="1"/>
    <col min="3" max="3" width="21.140625" customWidth="1"/>
    <col min="4" max="4" width="22.28515625" customWidth="1"/>
    <col min="5" max="5" width="14.42578125" customWidth="1"/>
    <col min="7" max="7" width="10.42578125" customWidth="1"/>
  </cols>
  <sheetData>
    <row r="1" spans="1:8" ht="21" thickBot="1" x14ac:dyDescent="0.25">
      <c r="A1" s="256" t="s">
        <v>16</v>
      </c>
      <c r="B1" s="257"/>
      <c r="C1" s="257"/>
      <c r="D1" s="258"/>
      <c r="E1" s="59">
        <v>5000</v>
      </c>
      <c r="F1" s="60" t="s">
        <v>12</v>
      </c>
      <c r="G1" s="60" t="s">
        <v>11</v>
      </c>
    </row>
    <row r="2" spans="1:8" x14ac:dyDescent="0.2">
      <c r="A2" s="61"/>
      <c r="B2" s="4"/>
      <c r="C2" s="61"/>
      <c r="D2" s="4"/>
      <c r="E2" s="62"/>
      <c r="F2" s="63"/>
      <c r="G2" s="34"/>
      <c r="H2" s="4"/>
    </row>
    <row r="3" spans="1:8" x14ac:dyDescent="0.2">
      <c r="A3" s="251" t="s">
        <v>44</v>
      </c>
      <c r="B3" s="252">
        <v>0</v>
      </c>
      <c r="C3" s="252">
        <v>0</v>
      </c>
      <c r="D3" s="253">
        <v>0</v>
      </c>
      <c r="E3" s="5"/>
      <c r="F3" s="6"/>
      <c r="G3" s="5"/>
    </row>
    <row r="4" spans="1:8" x14ac:dyDescent="0.2">
      <c r="A4" s="61"/>
      <c r="B4" s="4"/>
      <c r="C4" s="61"/>
      <c r="D4" s="4"/>
      <c r="E4" s="65"/>
      <c r="F4" s="63"/>
      <c r="G4" s="34"/>
      <c r="H4" s="4"/>
    </row>
    <row r="5" spans="1:8" x14ac:dyDescent="0.2">
      <c r="A5" s="251" t="s">
        <v>45</v>
      </c>
      <c r="B5" s="252">
        <v>0</v>
      </c>
      <c r="C5" s="252">
        <v>0</v>
      </c>
      <c r="D5" s="253">
        <v>0</v>
      </c>
      <c r="E5" s="5"/>
      <c r="F5" s="6"/>
      <c r="G5" s="6"/>
    </row>
    <row r="6" spans="1:8" x14ac:dyDescent="0.2">
      <c r="A6" s="61"/>
      <c r="B6" s="4"/>
      <c r="C6" s="61"/>
      <c r="D6" s="4"/>
      <c r="E6" s="66"/>
      <c r="F6" s="63"/>
      <c r="G6" s="34"/>
      <c r="H6" s="4"/>
    </row>
    <row r="7" spans="1:8" x14ac:dyDescent="0.2">
      <c r="A7" s="251" t="s">
        <v>46</v>
      </c>
      <c r="B7" s="252">
        <v>0</v>
      </c>
      <c r="C7" s="252">
        <v>0</v>
      </c>
      <c r="D7" s="253">
        <v>0</v>
      </c>
      <c r="E7" s="5"/>
      <c r="F7" s="6"/>
      <c r="G7" s="6"/>
    </row>
    <row r="8" spans="1:8" x14ac:dyDescent="0.2">
      <c r="A8" s="61"/>
      <c r="B8" s="4"/>
      <c r="C8" s="61"/>
      <c r="D8" s="4"/>
      <c r="E8" s="65"/>
      <c r="F8" s="63"/>
      <c r="G8" s="34"/>
      <c r="H8" s="4"/>
    </row>
    <row r="9" spans="1:8" x14ac:dyDescent="0.2">
      <c r="A9" s="251" t="s">
        <v>158</v>
      </c>
      <c r="B9" s="252"/>
      <c r="C9" s="252"/>
      <c r="D9" s="253"/>
      <c r="E9" s="67"/>
      <c r="F9" s="6"/>
      <c r="G9" s="6"/>
    </row>
    <row r="10" spans="1:8" x14ac:dyDescent="0.2">
      <c r="A10" s="68"/>
      <c r="B10" s="7"/>
      <c r="C10" s="68"/>
      <c r="D10" s="69"/>
      <c r="E10" s="38"/>
      <c r="F10" s="63"/>
      <c r="G10" s="70"/>
      <c r="H10" s="7"/>
    </row>
    <row r="11" spans="1:8" x14ac:dyDescent="0.2">
      <c r="A11" s="68"/>
      <c r="B11" s="7"/>
      <c r="C11" s="68"/>
      <c r="D11" s="71"/>
      <c r="E11" s="38"/>
      <c r="F11" s="63"/>
      <c r="G11" s="70"/>
      <c r="H11" s="7"/>
    </row>
    <row r="12" spans="1:8" x14ac:dyDescent="0.2">
      <c r="A12" s="251" t="s">
        <v>157</v>
      </c>
      <c r="B12" s="252">
        <v>0</v>
      </c>
      <c r="C12" s="252">
        <v>0</v>
      </c>
      <c r="D12" s="253">
        <v>0</v>
      </c>
      <c r="E12" s="8"/>
      <c r="F12" s="8"/>
      <c r="G12" s="9"/>
      <c r="H12" s="7"/>
    </row>
    <row r="13" spans="1:8" x14ac:dyDescent="0.2">
      <c r="A13" s="41"/>
      <c r="B13" s="41"/>
      <c r="C13" s="41"/>
      <c r="D13" s="41"/>
      <c r="E13" s="72"/>
      <c r="F13" s="73"/>
      <c r="G13" s="74"/>
      <c r="H13" s="7"/>
    </row>
    <row r="14" spans="1:8" x14ac:dyDescent="0.2">
      <c r="A14" s="251" t="s">
        <v>47</v>
      </c>
      <c r="B14" s="252">
        <v>0</v>
      </c>
      <c r="C14" s="252">
        <v>0</v>
      </c>
      <c r="D14" s="253">
        <v>0</v>
      </c>
      <c r="E14" s="57"/>
      <c r="F14" s="58"/>
      <c r="G14" s="9"/>
      <c r="H14" s="7"/>
    </row>
    <row r="15" spans="1:8" x14ac:dyDescent="0.2">
      <c r="A15" s="64"/>
      <c r="B15" s="64"/>
      <c r="C15" s="64"/>
      <c r="D15" s="64"/>
      <c r="E15" s="75"/>
      <c r="F15" s="73"/>
      <c r="G15" s="74"/>
      <c r="H15" s="7"/>
    </row>
    <row r="16" spans="1:8" x14ac:dyDescent="0.2">
      <c r="A16" s="251" t="s">
        <v>156</v>
      </c>
      <c r="B16" s="252">
        <v>0</v>
      </c>
      <c r="C16" s="252">
        <v>0</v>
      </c>
      <c r="D16" s="253">
        <v>0</v>
      </c>
      <c r="E16" s="13"/>
      <c r="F16" s="6"/>
      <c r="G16" s="6"/>
      <c r="H16" s="7"/>
    </row>
    <row r="17" spans="1:8" x14ac:dyDescent="0.2">
      <c r="A17" s="41"/>
      <c r="B17" s="41"/>
      <c r="C17" s="41"/>
      <c r="D17" s="41"/>
      <c r="E17" s="65"/>
      <c r="F17" s="73"/>
      <c r="G17" s="74"/>
      <c r="H17" s="7"/>
    </row>
    <row r="18" spans="1:8" x14ac:dyDescent="0.2">
      <c r="A18" s="41" t="s">
        <v>159</v>
      </c>
      <c r="B18" s="41"/>
      <c r="C18" s="41"/>
      <c r="D18" s="41"/>
      <c r="E18" s="65"/>
      <c r="F18" s="73"/>
      <c r="G18" s="74"/>
      <c r="H18" s="7"/>
    </row>
    <row r="19" spans="1:8" ht="33.75" x14ac:dyDescent="0.2">
      <c r="A19" s="254" t="s">
        <v>8</v>
      </c>
      <c r="B19" s="255"/>
      <c r="C19" s="76" t="s">
        <v>0</v>
      </c>
      <c r="D19" s="77" t="s">
        <v>29</v>
      </c>
      <c r="E19" s="78" t="s">
        <v>14</v>
      </c>
      <c r="F19" s="78" t="s">
        <v>13</v>
      </c>
      <c r="G19" s="78" t="s">
        <v>15</v>
      </c>
      <c r="H19" s="78" t="s">
        <v>28</v>
      </c>
    </row>
    <row r="20" spans="1:8" x14ac:dyDescent="0.2">
      <c r="A20" s="241" t="s">
        <v>20</v>
      </c>
      <c r="B20" s="242"/>
      <c r="C20" s="30">
        <f>IF(ISERROR(L16),"",L16)</f>
        <v>0</v>
      </c>
      <c r="D20" s="30">
        <f>IF(ISERROR(L12),"",L12)</f>
        <v>0</v>
      </c>
      <c r="E20" s="55">
        <f>IF(ISERROR(L14),"",L14)</f>
        <v>0</v>
      </c>
      <c r="F20" s="14" t="str">
        <f>IF(ISERROR(D20/#REF!),"",D20/#REF!)</f>
        <v/>
      </c>
      <c r="G20" s="15" t="str">
        <f>IF(ISERROR(D20/#REF!/F$3),"",D20/#REF!/F$3)</f>
        <v/>
      </c>
      <c r="H20" s="15" t="str">
        <f>IF(ISERROR(C20/F$3),"",C20/F$3)</f>
        <v/>
      </c>
    </row>
    <row r="21" spans="1:8" x14ac:dyDescent="0.2">
      <c r="A21" s="241" t="s">
        <v>9</v>
      </c>
      <c r="B21" s="242"/>
      <c r="C21" s="31">
        <f>IF(ISERROR(M16),"",M16)</f>
        <v>0</v>
      </c>
      <c r="D21" s="31">
        <f>IF(ISERROR(M12),"",M12)</f>
        <v>0</v>
      </c>
      <c r="E21" s="56">
        <f>IF(ISERROR(M14),"",M14)</f>
        <v>0</v>
      </c>
      <c r="F21" s="14" t="str">
        <f>IF(ISERROR(D21/#REF!),"",D21/#REF!)</f>
        <v/>
      </c>
      <c r="G21" s="15" t="str">
        <f>IF(ISERROR(D21/#REF!/F$3),"",D21/#REF!/F$3)</f>
        <v/>
      </c>
      <c r="H21" s="15" t="str">
        <f>IF(ISERROR(C21/F$3),"",C21/F$3)</f>
        <v/>
      </c>
    </row>
    <row r="22" spans="1:8" x14ac:dyDescent="0.2">
      <c r="A22" s="241" t="s">
        <v>18</v>
      </c>
      <c r="B22" s="242"/>
      <c r="C22" s="31">
        <f>IF(ISERROR(N16),"",N16)</f>
        <v>0</v>
      </c>
      <c r="D22" s="31">
        <f>IF(ISERROR(N12),"",N12)</f>
        <v>0</v>
      </c>
      <c r="E22" s="56">
        <f>IF(ISERROR(N14),"",N14)</f>
        <v>0</v>
      </c>
      <c r="F22" s="14" t="str">
        <f>IF(ISERROR(D22/#REF!),"",D22/#REF!)</f>
        <v/>
      </c>
      <c r="G22" s="15" t="str">
        <f>IF(ISERROR(D22/#REF!/F$3),"",D22/#REF!/F$3)</f>
        <v/>
      </c>
      <c r="H22" s="15" t="str">
        <f>IF(ISERROR(C22/F$3),"",C22/F$3)</f>
        <v/>
      </c>
    </row>
    <row r="23" spans="1:8" x14ac:dyDescent="0.2">
      <c r="A23" s="241" t="s">
        <v>19</v>
      </c>
      <c r="B23" s="242"/>
      <c r="C23" s="31">
        <f>IF(ISERROR(O16),"",O16)</f>
        <v>0</v>
      </c>
      <c r="D23" s="31">
        <f>IF(ISERROR(O12),"",O12)</f>
        <v>0</v>
      </c>
      <c r="E23" s="56">
        <f>IF(ISERROR(O14),"",O14)</f>
        <v>0</v>
      </c>
      <c r="F23" s="14" t="str">
        <f>IF(ISERROR(D23/#REF!),"",D23/#REF!)</f>
        <v/>
      </c>
      <c r="G23" s="15" t="str">
        <f>IF(ISERROR(D23/#REF!/F$3),"",D23/#REF!/F$3)</f>
        <v/>
      </c>
      <c r="H23" s="15" t="str">
        <f>IF(ISERROR(C23/F$3),"",C23/F$3)</f>
        <v/>
      </c>
    </row>
    <row r="24" spans="1:8" x14ac:dyDescent="0.2">
      <c r="A24" s="61"/>
      <c r="B24" s="41"/>
      <c r="C24" s="61"/>
      <c r="D24" s="79"/>
      <c r="E24" s="4"/>
      <c r="F24" s="34"/>
      <c r="G24" s="63"/>
      <c r="H24" s="4"/>
    </row>
    <row r="25" spans="1:8" ht="13.5" thickBot="1" x14ac:dyDescent="0.25">
      <c r="A25" s="80"/>
      <c r="B25" s="41"/>
      <c r="C25" s="80"/>
      <c r="D25" s="81"/>
      <c r="E25" s="82"/>
      <c r="F25" s="74"/>
      <c r="G25" s="73"/>
      <c r="H25" s="7"/>
    </row>
    <row r="26" spans="1:8" ht="18.75" thickBot="1" x14ac:dyDescent="0.25">
      <c r="A26" s="244" t="s">
        <v>30</v>
      </c>
      <c r="B26" s="245"/>
      <c r="C26" s="245"/>
      <c r="D26" s="245"/>
      <c r="E26" s="245"/>
      <c r="F26" s="245"/>
      <c r="G26" s="246"/>
    </row>
    <row r="27" spans="1:8" ht="45.75" thickBot="1" x14ac:dyDescent="0.25">
      <c r="A27" s="247" t="s">
        <v>2</v>
      </c>
      <c r="B27" s="248"/>
      <c r="C27" s="83" t="s">
        <v>4</v>
      </c>
      <c r="D27" s="83" t="s">
        <v>17</v>
      </c>
      <c r="E27" s="83" t="s">
        <v>5</v>
      </c>
      <c r="F27" s="249" t="s">
        <v>3</v>
      </c>
      <c r="G27" s="250"/>
    </row>
    <row r="28" spans="1:8" x14ac:dyDescent="0.2">
      <c r="A28" s="4"/>
      <c r="B28" s="4"/>
      <c r="C28" s="4"/>
      <c r="D28" s="4"/>
      <c r="E28" s="4"/>
      <c r="F28" s="34"/>
      <c r="G28" s="63"/>
    </row>
    <row r="29" spans="1:8" x14ac:dyDescent="0.2">
      <c r="A29" s="4" t="s">
        <v>6</v>
      </c>
      <c r="B29" s="84"/>
      <c r="C29" s="85"/>
      <c r="D29" s="243"/>
      <c r="E29" s="243"/>
      <c r="F29" s="243"/>
      <c r="G29" s="63"/>
    </row>
    <row r="30" spans="1:8" x14ac:dyDescent="0.2">
      <c r="A30" s="4" t="s">
        <v>7</v>
      </c>
      <c r="B30" s="86"/>
      <c r="C30" s="4"/>
      <c r="D30" s="26"/>
      <c r="E30" s="27"/>
      <c r="F30" s="87"/>
      <c r="G30" s="63"/>
    </row>
    <row r="32" spans="1:8" x14ac:dyDescent="0.2">
      <c r="A32" t="s">
        <v>31</v>
      </c>
      <c r="B32">
        <v>30.4</v>
      </c>
    </row>
  </sheetData>
  <sheetProtection selectLockedCells="1"/>
  <mergeCells count="17">
    <mergeCell ref="A12:D12"/>
    <mergeCell ref="A14:D14"/>
    <mergeCell ref="A16:D16"/>
    <mergeCell ref="A19:B19"/>
    <mergeCell ref="A1:D1"/>
    <mergeCell ref="A3:D3"/>
    <mergeCell ref="A5:D5"/>
    <mergeCell ref="A7:D7"/>
    <mergeCell ref="A9:D9"/>
    <mergeCell ref="A20:B20"/>
    <mergeCell ref="A21:B21"/>
    <mergeCell ref="D29:F29"/>
    <mergeCell ref="A23:B23"/>
    <mergeCell ref="A26:G26"/>
    <mergeCell ref="A27:B27"/>
    <mergeCell ref="F27:G27"/>
    <mergeCell ref="A22:B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4"/>
  <sheetViews>
    <sheetView zoomScale="85" zoomScaleNormal="85" workbookViewId="0">
      <selection activeCell="A23" sqref="A23"/>
    </sheetView>
  </sheetViews>
  <sheetFormatPr defaultColWidth="9.140625" defaultRowHeight="12.75" x14ac:dyDescent="0.2"/>
  <cols>
    <col min="1" max="1" width="31" style="116" customWidth="1"/>
    <col min="2" max="2" width="11.42578125" style="116" customWidth="1"/>
    <col min="3" max="4" width="9.140625" style="116"/>
    <col min="5" max="5" width="17.28515625" style="116" customWidth="1"/>
    <col min="6" max="6" width="16.85546875" style="116" customWidth="1"/>
    <col min="7" max="7" width="22.28515625" style="116" customWidth="1"/>
    <col min="8" max="8" width="17.5703125" style="116" customWidth="1"/>
    <col min="9" max="9" width="9.140625" style="116" customWidth="1"/>
    <col min="10" max="10" width="15.5703125" style="116" bestFit="1" customWidth="1"/>
    <col min="11" max="11" width="9.140625" style="116" customWidth="1"/>
    <col min="12" max="15" width="17.5703125" style="116" customWidth="1"/>
    <col min="16" max="16384" width="9.140625" style="116"/>
  </cols>
  <sheetData>
    <row r="1" spans="1:16" x14ac:dyDescent="0.2">
      <c r="B1" s="116" t="s">
        <v>21</v>
      </c>
      <c r="C1" s="116" t="s">
        <v>22</v>
      </c>
      <c r="D1" s="116" t="s">
        <v>23</v>
      </c>
      <c r="E1" s="116" t="s">
        <v>24</v>
      </c>
      <c r="F1" s="116" t="s">
        <v>25</v>
      </c>
      <c r="I1" s="116" t="s">
        <v>36</v>
      </c>
      <c r="J1" s="116" t="s">
        <v>37</v>
      </c>
      <c r="K1" s="116" t="s">
        <v>37</v>
      </c>
      <c r="L1" s="116" t="s">
        <v>0</v>
      </c>
      <c r="N1" s="116" t="s">
        <v>34</v>
      </c>
      <c r="O1" s="116" t="s">
        <v>35</v>
      </c>
    </row>
    <row r="2" spans="1:16" x14ac:dyDescent="0.2">
      <c r="D2" s="117"/>
      <c r="E2" s="117"/>
      <c r="F2" s="117"/>
      <c r="H2" s="116" t="s">
        <v>27</v>
      </c>
      <c r="I2" s="116" t="s">
        <v>26</v>
      </c>
      <c r="J2" s="116" t="s">
        <v>38</v>
      </c>
      <c r="K2" s="116" t="s">
        <v>10</v>
      </c>
      <c r="L2" s="118"/>
      <c r="M2" s="118"/>
      <c r="N2" s="118"/>
      <c r="O2" s="118"/>
    </row>
    <row r="3" spans="1:16" x14ac:dyDescent="0.2">
      <c r="A3" s="116">
        <v>1</v>
      </c>
      <c r="B3" s="116">
        <v>2</v>
      </c>
      <c r="C3" s="116">
        <v>3</v>
      </c>
      <c r="D3" s="116">
        <v>4</v>
      </c>
      <c r="E3" s="116">
        <v>5</v>
      </c>
      <c r="F3" s="116">
        <v>6</v>
      </c>
      <c r="G3" s="116">
        <v>7</v>
      </c>
      <c r="H3" s="116">
        <v>8</v>
      </c>
      <c r="I3" s="116">
        <v>9</v>
      </c>
      <c r="J3" s="116">
        <v>10</v>
      </c>
      <c r="L3" s="116">
        <v>11</v>
      </c>
      <c r="N3" s="116">
        <v>12</v>
      </c>
      <c r="O3" s="116">
        <v>13</v>
      </c>
      <c r="P3" s="116">
        <v>14</v>
      </c>
    </row>
    <row r="4" spans="1:16" s="151" customFormat="1" x14ac:dyDescent="0.2">
      <c r="A4" s="151" t="s">
        <v>160</v>
      </c>
      <c r="B4" s="121">
        <v>94339.62</v>
      </c>
      <c r="C4" s="151">
        <v>24</v>
      </c>
      <c r="D4" s="152">
        <v>1E-4</v>
      </c>
      <c r="E4" s="152">
        <v>0</v>
      </c>
      <c r="F4" s="152">
        <v>4.99E-2</v>
      </c>
      <c r="G4" s="151" t="str">
        <f>I$2&amp;" "&amp;B4&amp;" "&amp;H$2</f>
        <v>max. 94339,62 грн.</v>
      </c>
      <c r="H4" s="184">
        <f>B4+B4*K4</f>
        <v>99999.997199999998</v>
      </c>
      <c r="I4" s="151">
        <v>9</v>
      </c>
      <c r="K4" s="185">
        <v>0.06</v>
      </c>
      <c r="L4" s="153">
        <f t="shared" ref="L4" si="0">D4/12/(1-1/POWER(1+D4/12,C4))*H4+H4*F4</f>
        <v>9157.1004518882764</v>
      </c>
      <c r="M4" s="154">
        <f>F4</f>
        <v>4.99E-2</v>
      </c>
      <c r="N4" s="154"/>
      <c r="O4" s="155">
        <v>0</v>
      </c>
      <c r="P4" s="151">
        <v>943.39599999999996</v>
      </c>
    </row>
  </sheetData>
  <sheetProtection selectLockedCell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NST Ідея_0-9-24</vt:lpstr>
      <vt:lpstr>Перелік партнерів</vt:lpstr>
      <vt:lpstr>Назви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VRusak</dc:creator>
  <cp:lastModifiedBy>Долюк Юлія</cp:lastModifiedBy>
  <cp:lastPrinted>2013-06-13T14:54:01Z</cp:lastPrinted>
  <dcterms:created xsi:type="dcterms:W3CDTF">2008-03-13T06:51:50Z</dcterms:created>
  <dcterms:modified xsi:type="dcterms:W3CDTF">2025-07-17T07:35:40Z</dcterms:modified>
</cp:coreProperties>
</file>