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NST\"/>
    </mc:Choice>
  </mc:AlternateContent>
  <xr:revisionPtr revIDLastSave="0" documentId="13_ncr:1_{C9131621-999D-4BCE-85A8-31D276CC49A4}" xr6:coauthVersionLast="47" xr6:coauthVersionMax="47" xr10:uidLastSave="{00000000-0000-0000-0000-000000000000}"/>
  <workbookProtection workbookAlgorithmName="SHA-512" workbookHashValue="/2wrR79aNNnGLXq1naSxHB37Kz0CDVsyEMLS/ciGgVW2HixecoxlegxFGTnRmtEfBgDl1RP9qqi7rTZ9jY1UrA==" workbookSaltValue="94E398wDeKQpflaCGPknuA==" workbookSpinCount="100000" lockStructure="1"/>
  <bookViews>
    <workbookView xWindow="-120" yWindow="-120" windowWidth="29040" windowHeight="15990" tabRatio="863" xr2:uid="{00000000-000D-0000-FFFF-FFFF00000000}"/>
  </bookViews>
  <sheets>
    <sheet name="NST Ідея_ТзОВ Армстронг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 Ідея_ТзОВ Армстронг'!$A$1:$I$103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L8" i="164"/>
  <c r="L9" i="164"/>
  <c r="L10" i="164"/>
  <c r="L11" i="164"/>
  <c r="L12" i="164"/>
  <c r="L13" i="164"/>
  <c r="G8" i="165"/>
  <c r="H8" i="165"/>
  <c r="L8" i="165" s="1"/>
  <c r="M8" i="165"/>
  <c r="G9" i="165"/>
  <c r="H9" i="165"/>
  <c r="L9" i="165" s="1"/>
  <c r="M9" i="165"/>
  <c r="G10" i="165"/>
  <c r="H10" i="165"/>
  <c r="L10" i="165" s="1"/>
  <c r="M10" i="165"/>
  <c r="M7" i="165"/>
  <c r="H7" i="165"/>
  <c r="L7" i="165" s="1"/>
  <c r="G7" i="165"/>
  <c r="H5" i="165" l="1"/>
  <c r="H6" i="165"/>
  <c r="F2" i="164" s="1"/>
  <c r="H4" i="165"/>
  <c r="E2" i="164"/>
  <c r="G2" i="164"/>
  <c r="G3" i="164"/>
  <c r="H3" i="164" l="1"/>
  <c r="G39" i="164"/>
  <c r="M6" i="165" l="1"/>
  <c r="L6" i="165"/>
  <c r="G6" i="165"/>
  <c r="M5" i="165"/>
  <c r="L5" i="165"/>
  <c r="G5" i="165"/>
  <c r="G4" i="165" l="1"/>
  <c r="L17" i="164" l="1"/>
  <c r="L14" i="164" l="1"/>
  <c r="L15" i="164"/>
  <c r="L16" i="164"/>
  <c r="B28" i="164" l="1"/>
  <c r="B26" i="164"/>
  <c r="B24" i="164"/>
  <c r="B11" i="164"/>
  <c r="F17" i="164" l="1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22" i="161" l="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F62" i="164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F73" i="164"/>
  <c r="F67" i="164"/>
  <c r="E78" i="164"/>
  <c r="F92" i="164"/>
  <c r="F52" i="164"/>
  <c r="F60" i="164"/>
  <c r="E97" i="164"/>
  <c r="F99" i="164"/>
  <c r="F69" i="164"/>
  <c r="F50" i="164"/>
  <c r="E94" i="164"/>
  <c r="F83" i="164"/>
  <c r="F76" i="164"/>
  <c r="E80" i="164"/>
  <c r="F48" i="164"/>
  <c r="F53" i="164"/>
  <c r="F51" i="164"/>
  <c r="F61" i="164"/>
  <c r="E85" i="164"/>
  <c r="F75" i="164"/>
  <c r="F91" i="164"/>
  <c r="F68" i="164"/>
  <c r="F84" i="164"/>
  <c r="F94" i="164"/>
  <c r="F96" i="164"/>
  <c r="F46" i="164"/>
  <c r="F23" i="161"/>
  <c r="G21" i="161"/>
  <c r="F97" i="164"/>
  <c r="F58" i="164"/>
  <c r="F45" i="164"/>
  <c r="F42" i="164"/>
  <c r="F43" i="164"/>
  <c r="F44" i="164"/>
  <c r="F40" i="164"/>
  <c r="E66" i="164"/>
  <c r="E90" i="164"/>
  <c r="E98" i="164"/>
  <c r="E91" i="164"/>
  <c r="E81" i="164"/>
  <c r="E99" i="164"/>
  <c r="F71" i="164"/>
  <c r="F79" i="164"/>
  <c r="F87" i="164"/>
  <c r="F95" i="164"/>
  <c r="F64" i="164"/>
  <c r="F72" i="164"/>
  <c r="F80" i="164"/>
  <c r="F88" i="164"/>
  <c r="E96" i="164"/>
  <c r="E79" i="164"/>
  <c r="F85" i="164"/>
  <c r="F78" i="164"/>
  <c r="F47" i="164"/>
  <c r="F49" i="164"/>
  <c r="F59" i="164"/>
  <c r="F70" i="164"/>
  <c r="E83" i="164"/>
  <c r="F90" i="164"/>
  <c r="F77" i="164"/>
  <c r="E88" i="164"/>
  <c r="E95" i="164"/>
  <c r="F82" i="164"/>
  <c r="F89" i="164"/>
  <c r="F65" i="164"/>
  <c r="E76" i="164"/>
  <c r="F56" i="164"/>
  <c r="F55" i="164"/>
  <c r="F54" i="164"/>
  <c r="F57" i="164"/>
  <c r="F41" i="164"/>
  <c r="F63" i="164"/>
  <c r="F98" i="164"/>
  <c r="F86" i="164"/>
  <c r="F74" i="164"/>
  <c r="F66" i="164"/>
  <c r="F93" i="164"/>
  <c r="F81" i="164"/>
  <c r="E93" i="164"/>
  <c r="E75" i="164"/>
  <c r="E89" i="164"/>
  <c r="E92" i="164"/>
  <c r="E84" i="164"/>
  <c r="E64" i="164"/>
  <c r="D59" i="164" l="1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G75" i="164" s="1"/>
  <c r="D71" i="164"/>
  <c r="G71" i="164" s="1"/>
  <c r="D67" i="164"/>
  <c r="D84" i="164"/>
  <c r="G84" i="164" s="1"/>
  <c r="D80" i="164"/>
  <c r="G80" i="164" s="1"/>
  <c r="D76" i="164"/>
  <c r="G76" i="164" s="1"/>
  <c r="D72" i="164"/>
  <c r="D68" i="164"/>
  <c r="D64" i="164"/>
  <c r="G64" i="164" s="1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G66" i="164" s="1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G59" i="164" s="1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/>
  <c r="G44" i="164" l="1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<sst xmlns="http://schemas.openxmlformats.org/spreadsheetml/2006/main" count="175" uniqueCount="167">
  <si>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</si>
  <si>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</si>
  <si>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</si>
  <si>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</si>
  <si>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</si>
  <si>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</si>
  <si>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</si>
  <si>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</si>
  <si>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</si>
  <si>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</si>
  <si>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</si>
  <si>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</si>
  <si>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</si>
  <si>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</si>
  <si>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</si>
  <si>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</si>
  <si>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</si>
  <si>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</si>
  <si>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</si>
  <si>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</si>
  <si>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</si>
  <si>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</si>
  <si>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</si>
  <si>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</si>
  <si>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</si>
  <si>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</si>
  <si>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</si>
  <si>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</si>
  <si>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</si>
  <si>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</si>
  <si>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</si>
  <si>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</si>
  <si>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</si>
  <si>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</si>
  <si>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</si>
  <si>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</si>
  <si>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</si>
  <si>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</si>
  <si>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</si>
  <si>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</si>
  <si>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</si>
  <si>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</si>
  <si>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</si>
  <si>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</si>
  <si>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</si>
  <si>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</si>
  <si>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</si>
  <si>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</si>
  <si>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</si>
  <si>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</si>
  <si>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</si>
  <si>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</si>
  <si>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</si>
  <si>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</si>
  <si>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</si>
  <si>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</si>
  <si>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</si>
  <si>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</si>
  <si>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</si>
  <si>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</si>
  <si>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</si>
  <si>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</si>
  <si>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</si>
  <si>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</si>
  <si>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</si>
  <si>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</si>
  <si>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</si>
  <si>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</si>
  <si>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</si>
  <si>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</si>
  <si>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</si>
  <si>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</si>
  <si>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</si>
  <si>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</si>
  <si>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</si>
  <si>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</si>
  <si>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</si>
  <si>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</si>
  <si>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</si>
  <si>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</si>
  <si>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</si>
  <si>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</si>
  <si>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</si>
  <si>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</si>
  <si>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</si>
  <si>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</si>
  <si>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</si>
  <si>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</si>
  <si>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</si>
  <si>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</si>
  <si>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</si>
  <si>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</si>
  <si>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</si>
  <si>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</si>
  <si>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</si>
  <si>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</si>
  <si>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</si>
  <si>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</si>
  <si>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</si>
  <si>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</si>
  <si>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</si>
  <si>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</si>
  <si>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</si>
  <si>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</si>
  <si>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</si>
  <si>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</si>
  <si>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</si>
  <si>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</si>
  <si>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</si>
  <si>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</si>
  <si>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</si>
  <si>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</si>
  <si>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</si>
  <si>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</si>
  <si>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</si>
  <si>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</si>
  <si>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</si>
  <si>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</si>
  <si>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</si>
  <si>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</si>
  <si>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</si>
  <si>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</si>
  <si>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</si>
  <si>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</si>
  <si>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</si>
  <si>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</si>
  <si>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</si>
  <si>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</si>
  <si>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</si>
  <si>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</si>
  <si>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</si>
  <si>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</si>
  <si>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</si>
  <si>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</si>
  <si>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</si>
  <si>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</si>
  <si>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</si>
  <si>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</si>
  <si>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</si>
  <si>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</si>
  <si>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</si>
  <si>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</si>
  <si>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</si>
  <si>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</si>
  <si>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</si>
  <si>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</si>
  <si>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</si>
  <si>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</si>
  <si>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</si>
  <si>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</si>
  <si>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</si>
  <si>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</si>
  <si>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</si>
  <si>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</si>
  <si>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</si>
  <si>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</si>
  <si>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</si>
  <si>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</si>
  <si>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</si>
  <si>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</si>
  <si>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 Yabluka_0-6-12</t>
  </si>
  <si>
    <t>NST Ідея Yabluka_0-9-24</t>
  </si>
  <si>
    <t>NST Ідея Yabluka_0-5-12</t>
  </si>
  <si>
    <t>NST Ідея Yabluka_0-3-12</t>
  </si>
  <si>
    <t>NST Ідея Yabluka_0-0-12</t>
  </si>
  <si>
    <t>NST Ідея Yabluka_0-0-24</t>
  </si>
  <si>
    <t>NST Ідея Yabluka_0-0-36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</si>
</sst>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60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2" fontId="0" fillId="11" borderId="0" xfId="0" applyNumberFormat="1" applyFill="1" applyProtection="1">
      <protection hidden="1"/>
    </xf>
    <xf numFmtId="10" fontId="0" fillId="0" borderId="0" xfId="0" applyNumberFormat="1" applyProtection="1">
      <protection hidden="1"/>
    </xf>
    <xf numFmtId="10" fontId="0" fillId="11" borderId="0" xfId="0" applyNumberFormat="1" applyFill="1" applyProtection="1">
      <protection hidden="1"/>
    </xf>
    <xf numFmtId="0" fontId="33" fillId="6" borderId="1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7" fillId="0" borderId="0" xfId="49" applyFont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left"/>
    </xf>
    <xf numFmtId="0" fontId="33" fillId="6" borderId="3" xfId="0" applyFont="1" applyFill="1" applyBorder="1" applyAlignment="1">
      <alignment horizontal="left"/>
    </xf>
    <xf numFmtId="4" fontId="15" fillId="0" borderId="1" xfId="49" applyNumberFormat="1" applyFont="1" applyBorder="1" applyAlignment="1">
      <alignment horizontal="center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7" fontId="3" fillId="3" borderId="0" xfId="72" applyNumberFormat="1" applyFont="1" applyFill="1" applyAlignment="1" applyProtection="1">
      <alignment horizontal="left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4</xdr:col>
      <xdr:colOff>38100</xdr:colOff>
      <xdr:row>4</xdr:row>
      <xdr:rowOff>0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28575"/>
          <a:ext cx="23526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5703125" style="4" bestFit="1" customWidth="1"/>
    <col min="4" max="4" width="15" style="4" bestFit="1" customWidth="1"/>
    <col min="5" max="5" width="31" style="4" customWidth="1"/>
    <col min="6" max="6" width="16.28515625" style="4" bestFit="1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214" t="s">
        <v>48</v>
      </c>
      <c r="I1" s="214"/>
    </row>
    <row r="2" spans="1:45" ht="12.75" customHeight="1" x14ac:dyDescent="0.2">
      <c r="A2" s="2"/>
      <c r="B2" s="88"/>
      <c r="C2" s="88"/>
      <c r="D2" s="88"/>
      <c r="E2" s="109">
        <f>VLOOKUP('NST Ідея_ТзОВ Армстронг'!H2,Лист2!A:P,16,FALSE)</f>
        <v>1000</v>
      </c>
      <c r="F2" s="132">
        <f>VLOOKUP(H$2,Лист2!$A:$H,8,0)</f>
        <v>199999.99859999999</v>
      </c>
      <c r="G2" s="177">
        <f ca="1">TODAY()</f>
        <v>45855</v>
      </c>
      <c r="H2" s="220" t="s">
        <v>164</v>
      </c>
      <c r="I2" s="221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51000</v>
      </c>
      <c r="F3" s="222" t="str">
        <f>IF(E3="x","Збільшіть суму",IF(E3="y","Зменшіть суму",""))</f>
        <v/>
      </c>
      <c r="G3" s="133">
        <f>Назви!B32</f>
        <v>30.4</v>
      </c>
      <c r="H3" s="224">
        <f>VLOOKUP(H$2,Лист2!$A:$H,8,0)</f>
        <v>199999.99859999999</v>
      </c>
      <c r="I3" s="225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223"/>
      <c r="G4" s="112"/>
      <c r="H4" s="162"/>
      <c r="I4" s="120"/>
      <c r="J4" s="35"/>
      <c r="AA4" s="51"/>
    </row>
    <row r="5" spans="1:45" ht="21" thickBot="1" x14ac:dyDescent="0.25">
      <c r="A5" s="1"/>
      <c r="B5" s="226" t="s">
        <v>42</v>
      </c>
      <c r="C5" s="227"/>
      <c r="D5" s="227"/>
      <c r="E5" s="228"/>
      <c r="F5" s="161">
        <v>50000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9"/>
      <c r="B6" s="189"/>
      <c r="C6" s="189"/>
      <c r="D6" s="189"/>
      <c r="E6" s="189"/>
      <c r="F6" s="189"/>
      <c r="G6" s="189"/>
      <c r="H6" s="189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217" t="s">
        <v>43</v>
      </c>
      <c r="C7" s="218"/>
      <c r="D7" s="218"/>
      <c r="E7" s="219"/>
      <c r="F7" s="163">
        <f>F5+F5*F11+F15+F5*F17</f>
        <v>51000</v>
      </c>
      <c r="G7" s="164"/>
      <c r="H7" s="165"/>
      <c r="I7" s="42"/>
      <c r="J7" s="4"/>
      <c r="K7" s="37"/>
      <c r="L7" s="51" t="str">
        <f>Лист2!A4</f>
        <v>NST Ідея Yabluka_0-0-12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215"/>
      <c r="B8" s="215"/>
      <c r="C8" s="215"/>
      <c r="D8" s="215"/>
      <c r="E8" s="215"/>
      <c r="F8" s="189"/>
      <c r="G8" s="215"/>
      <c r="H8" s="215"/>
      <c r="I8" s="215"/>
      <c r="J8" s="4"/>
      <c r="K8" s="37"/>
      <c r="L8" s="51" t="str">
        <f>Лист2!A5</f>
        <v>NST Ідея Yabluka_0-0-24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29" t="str">
        <f>Назви!A3</f>
        <v>Процентна ставка, % річних</v>
      </c>
      <c r="C9" s="230">
        <f>Назви!B3</f>
        <v>0</v>
      </c>
      <c r="D9" s="230">
        <f>Назви!C3</f>
        <v>0</v>
      </c>
      <c r="E9" s="230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str">
        <f>Лист2!A6</f>
        <v>NST Ідея Yabluka_0-0-36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str">
        <f>Лист2!A7</f>
        <v>NST Ідея Yabluka_0-3-12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188" t="str">
        <f>Назви!A5</f>
        <v>Разовий страховий тариф, %</v>
      </c>
      <c r="C11" s="197">
        <f>Назви!B5</f>
        <v>0</v>
      </c>
      <c r="D11" s="197">
        <f>Назви!C5</f>
        <v>0</v>
      </c>
      <c r="E11" s="197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str">
        <f>Лист2!A8</f>
        <v>NST Ідея Yabluka_0-5-12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9"/>
      <c r="B12" s="189"/>
      <c r="C12" s="189"/>
      <c r="D12" s="189"/>
      <c r="E12" s="189"/>
      <c r="F12" s="189"/>
      <c r="G12" s="189"/>
      <c r="H12" s="189"/>
      <c r="I12" s="189"/>
      <c r="J12" s="51"/>
      <c r="K12" s="37"/>
      <c r="L12" s="51" t="str">
        <f>Лист2!A9</f>
        <v>NST Ідея Yabluka_0-6-12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187" t="s">
        <v>41</v>
      </c>
      <c r="C13" s="187"/>
      <c r="D13" s="187"/>
      <c r="E13" s="188"/>
      <c r="F13" s="140">
        <f>VLOOKUP(H$2,Лист2!$A:$J,9,0)</f>
        <v>0</v>
      </c>
      <c r="G13" s="175"/>
      <c r="H13" s="173"/>
      <c r="I13" s="120"/>
      <c r="J13" s="4"/>
      <c r="K13" s="37"/>
      <c r="L13" s="51" t="str">
        <f>Лист2!A10</f>
        <v>NST Ідея Yabluka_0-9-24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216"/>
      <c r="B14" s="216"/>
      <c r="C14" s="216"/>
      <c r="D14" s="216"/>
      <c r="E14" s="216"/>
      <c r="F14" s="216"/>
      <c r="G14" s="216"/>
      <c r="H14" s="216"/>
      <c r="I14" s="216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187" t="s">
        <v>39</v>
      </c>
      <c r="C15" s="187"/>
      <c r="D15" s="187"/>
      <c r="E15" s="188"/>
      <c r="F15" s="156">
        <f>VLOOKUP(H$2,Лист2!$A:$J,10,0)</f>
        <v>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9"/>
      <c r="B16" s="189"/>
      <c r="C16" s="189"/>
      <c r="D16" s="189"/>
      <c r="E16" s="189"/>
      <c r="F16" s="189"/>
      <c r="G16" s="189"/>
      <c r="H16" s="189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187" t="s">
        <v>40</v>
      </c>
      <c r="C17" s="187"/>
      <c r="D17" s="187"/>
      <c r="E17" s="187"/>
      <c r="F17" s="134">
        <f>VLOOKUP(H$2,Лист2!$A:$K,11,0)</f>
        <v>0.02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9"/>
      <c r="B18" s="189"/>
      <c r="C18" s="189"/>
      <c r="D18" s="189"/>
      <c r="E18" s="189"/>
      <c r="F18" s="189"/>
      <c r="G18" s="189"/>
      <c r="H18" s="189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188" t="str">
        <f>Назви!A7</f>
        <v xml:space="preserve">Щомісячна плата за обслуговування кредитної заборгованості, % </v>
      </c>
      <c r="C19" s="197">
        <f>Назви!B7</f>
        <v>0</v>
      </c>
      <c r="D19" s="197">
        <f>Назви!C7</f>
        <v>0</v>
      </c>
      <c r="E19" s="198">
        <f>Назви!D7</f>
        <v>0</v>
      </c>
      <c r="F19" s="134">
        <f>VLOOKUP(H$2,Лист2!$A:$G,6,0)</f>
        <v>2.5000000000000001E-2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188" t="str">
        <f>Назви!A9</f>
        <v>Термін кредитування (міс.)</v>
      </c>
      <c r="C21" s="197">
        <f>Назви!B9</f>
        <v>0</v>
      </c>
      <c r="D21" s="197">
        <f>Назви!C9</f>
        <v>0</v>
      </c>
      <c r="E21" s="198">
        <f>Назви!D9</f>
        <v>0</v>
      </c>
      <c r="F21" s="141">
        <f>VLOOKUP(H$2,Лист2!$A:$G,3,0)</f>
        <v>12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51000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192" t="str">
        <f>Назви!A14</f>
        <v>Орієнтовні загальні витрати за кредитом, грн.</v>
      </c>
      <c r="C24" s="193"/>
      <c r="D24" s="193"/>
      <c r="E24" s="193"/>
      <c r="F24" s="160">
        <f>G100-F5</f>
        <v>16304.999999999985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192" t="str">
        <f>Назви!A16</f>
        <v>Орієнтовна загальна вартість кредиту, грн.</v>
      </c>
      <c r="C26" s="193">
        <f>Назви!B14</f>
        <v>0</v>
      </c>
      <c r="D26" s="193">
        <f>Назви!C14</f>
        <v>0</v>
      </c>
      <c r="E26" s="194">
        <f>Назви!D14</f>
        <v>0</v>
      </c>
      <c r="F26" s="144">
        <f>F5+F24</f>
        <v>66304.999999999985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192" t="str">
        <f>Назви!A18</f>
        <v>Реальна річна процентна ставка, %</v>
      </c>
      <c r="C28" s="193">
        <f>Назви!B16</f>
        <v>0</v>
      </c>
      <c r="D28" s="193">
        <f>Назви!C16</f>
        <v>0</v>
      </c>
      <c r="E28" s="194">
        <f>Назви!D16</f>
        <v>0</v>
      </c>
      <c r="F28" s="147">
        <f ca="1">XIRR(G39:G87,C39:C87)</f>
        <v>0.71826781034469622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195" t="str">
        <f>Назви!A19</f>
        <v>Інший термін</v>
      </c>
      <c r="C30" s="196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190" t="s">
        <v>32</v>
      </c>
      <c r="C31" s="191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190" t="s">
        <v>33</v>
      </c>
      <c r="C32" s="191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190" t="s">
        <v>9</v>
      </c>
      <c r="C33" s="191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190"/>
      <c r="C34" s="191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200" t="str">
        <f>Назви!A26</f>
        <v xml:space="preserve">ГРАФІК СПЛАТИ КРЕДИТУ </v>
      </c>
      <c r="C37" s="201"/>
      <c r="D37" s="201"/>
      <c r="E37" s="201"/>
      <c r="F37" s="201"/>
      <c r="G37" s="201"/>
      <c r="H37" s="202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03" t="str">
        <f>Назви!A27</f>
        <v>Місяць</v>
      </c>
      <c r="C38" s="204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03" t="str">
        <f>Назви!F27</f>
        <v>Загальна сума внесків до повернення в місяць, грн.</v>
      </c>
      <c r="H38" s="204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45855</v>
      </c>
      <c r="D39" s="91"/>
      <c r="E39" s="92"/>
      <c r="F39" s="91"/>
      <c r="G39" s="158">
        <f>-F5</f>
        <v>-50000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45886</v>
      </c>
      <c r="D40" s="19">
        <f>IF(B40&lt;=$F$21,$F$7/$F$21,0)</f>
        <v>4250</v>
      </c>
      <c r="E40" s="20">
        <f>IF(AND(B40&gt;F$13,B40&lt;=$F$21),F$7*F$19,0)</f>
        <v>1275</v>
      </c>
      <c r="F40" s="182">
        <f>IF(B40&lt;=$F$21,F$5*F$9/12,0)</f>
        <v>0.41666666666666669</v>
      </c>
      <c r="G40" s="199">
        <f t="shared" ref="G40:G71" si="0">IF(B$40&lt;=F$21,D40+E40+F40,0)</f>
        <v>5525.416666666667</v>
      </c>
      <c r="H40" s="199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45917</v>
      </c>
      <c r="D41" s="19">
        <f t="shared" ref="D41:D87" si="2">IF(B41&lt;=$F$21,$F$7/$F$21,0)</f>
        <v>4250</v>
      </c>
      <c r="E41" s="20">
        <f t="shared" ref="E41:E99" si="3">IF(AND(B41&gt;F$13,B41&lt;=$F$21),F$7*F$19,0)</f>
        <v>1275</v>
      </c>
      <c r="F41" s="20">
        <f t="shared" ref="F41:F99" si="4">IF(B41&lt;=$F$21,F$5*F$9/12,0)</f>
        <v>0.41666666666666669</v>
      </c>
      <c r="G41" s="199">
        <f t="shared" si="0"/>
        <v>5525.416666666667</v>
      </c>
      <c r="H41" s="199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45947</v>
      </c>
      <c r="D42" s="19">
        <f t="shared" si="2"/>
        <v>4250</v>
      </c>
      <c r="E42" s="20">
        <f t="shared" si="3"/>
        <v>1275</v>
      </c>
      <c r="F42" s="20">
        <f t="shared" si="4"/>
        <v>0.41666666666666669</v>
      </c>
      <c r="G42" s="199">
        <f t="shared" si="0"/>
        <v>5525.416666666667</v>
      </c>
      <c r="H42" s="199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45978</v>
      </c>
      <c r="D43" s="19">
        <f t="shared" si="2"/>
        <v>4250</v>
      </c>
      <c r="E43" s="20">
        <f t="shared" si="3"/>
        <v>1275</v>
      </c>
      <c r="F43" s="20">
        <f t="shared" si="4"/>
        <v>0.41666666666666669</v>
      </c>
      <c r="G43" s="199">
        <f t="shared" si="0"/>
        <v>5525.416666666667</v>
      </c>
      <c r="H43" s="199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46008</v>
      </c>
      <c r="D44" s="19">
        <f t="shared" si="2"/>
        <v>4250</v>
      </c>
      <c r="E44" s="20">
        <f t="shared" si="3"/>
        <v>1275</v>
      </c>
      <c r="F44" s="20">
        <f t="shared" si="4"/>
        <v>0.41666666666666669</v>
      </c>
      <c r="G44" s="199">
        <f t="shared" si="0"/>
        <v>5525.416666666667</v>
      </c>
      <c r="H44" s="199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46039</v>
      </c>
      <c r="D45" s="19">
        <f t="shared" si="2"/>
        <v>4250</v>
      </c>
      <c r="E45" s="20">
        <f t="shared" si="3"/>
        <v>1275</v>
      </c>
      <c r="F45" s="20">
        <f t="shared" si="4"/>
        <v>0.41666666666666669</v>
      </c>
      <c r="G45" s="199">
        <f t="shared" si="0"/>
        <v>5525.416666666667</v>
      </c>
      <c r="H45" s="199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46070</v>
      </c>
      <c r="D46" s="19">
        <f t="shared" si="2"/>
        <v>4250</v>
      </c>
      <c r="E46" s="20">
        <f t="shared" si="3"/>
        <v>1275</v>
      </c>
      <c r="F46" s="20">
        <f t="shared" si="4"/>
        <v>0.41666666666666669</v>
      </c>
      <c r="G46" s="199">
        <f t="shared" si="0"/>
        <v>5525.416666666667</v>
      </c>
      <c r="H46" s="199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46098</v>
      </c>
      <c r="D47" s="19">
        <f t="shared" si="2"/>
        <v>4250</v>
      </c>
      <c r="E47" s="20">
        <f t="shared" si="3"/>
        <v>1275</v>
      </c>
      <c r="F47" s="20">
        <f t="shared" si="4"/>
        <v>0.41666666666666669</v>
      </c>
      <c r="G47" s="199">
        <f t="shared" si="0"/>
        <v>5525.416666666667</v>
      </c>
      <c r="H47" s="199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46129</v>
      </c>
      <c r="D48" s="19">
        <f t="shared" si="2"/>
        <v>4250</v>
      </c>
      <c r="E48" s="20">
        <f t="shared" si="3"/>
        <v>1275</v>
      </c>
      <c r="F48" s="20">
        <f t="shared" si="4"/>
        <v>0.41666666666666669</v>
      </c>
      <c r="G48" s="199">
        <f t="shared" si="0"/>
        <v>5525.416666666667</v>
      </c>
      <c r="H48" s="199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46159</v>
      </c>
      <c r="D49" s="19">
        <f t="shared" si="2"/>
        <v>4250</v>
      </c>
      <c r="E49" s="20">
        <f t="shared" si="3"/>
        <v>1275</v>
      </c>
      <c r="F49" s="20">
        <f t="shared" si="4"/>
        <v>0.41666666666666669</v>
      </c>
      <c r="G49" s="199">
        <f t="shared" si="0"/>
        <v>5525.416666666667</v>
      </c>
      <c r="H49" s="199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46190</v>
      </c>
      <c r="D50" s="19">
        <f t="shared" si="2"/>
        <v>4250</v>
      </c>
      <c r="E50" s="20">
        <f t="shared" si="3"/>
        <v>1275</v>
      </c>
      <c r="F50" s="20">
        <f t="shared" si="4"/>
        <v>0.41666666666666669</v>
      </c>
      <c r="G50" s="199">
        <f t="shared" si="0"/>
        <v>5525.416666666667</v>
      </c>
      <c r="H50" s="199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46220</v>
      </c>
      <c r="D51" s="19">
        <f t="shared" si="2"/>
        <v>4250</v>
      </c>
      <c r="E51" s="20">
        <f t="shared" si="3"/>
        <v>1275</v>
      </c>
      <c r="F51" s="20">
        <f t="shared" si="4"/>
        <v>0.41666666666666669</v>
      </c>
      <c r="G51" s="199">
        <f t="shared" si="0"/>
        <v>5525.416666666667</v>
      </c>
      <c r="H51" s="199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46251</v>
      </c>
      <c r="D52" s="19">
        <f t="shared" si="2"/>
        <v>0</v>
      </c>
      <c r="E52" s="20">
        <f t="shared" si="3"/>
        <v>0</v>
      </c>
      <c r="F52" s="20">
        <f t="shared" si="4"/>
        <v>0</v>
      </c>
      <c r="G52" s="199">
        <f t="shared" si="0"/>
        <v>0</v>
      </c>
      <c r="H52" s="199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46282</v>
      </c>
      <c r="D53" s="19">
        <f t="shared" si="2"/>
        <v>0</v>
      </c>
      <c r="E53" s="20">
        <f t="shared" si="3"/>
        <v>0</v>
      </c>
      <c r="F53" s="20">
        <f t="shared" si="4"/>
        <v>0</v>
      </c>
      <c r="G53" s="199">
        <f t="shared" si="0"/>
        <v>0</v>
      </c>
      <c r="H53" s="199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46312</v>
      </c>
      <c r="D54" s="19">
        <f t="shared" si="2"/>
        <v>0</v>
      </c>
      <c r="E54" s="20">
        <f t="shared" si="3"/>
        <v>0</v>
      </c>
      <c r="F54" s="20">
        <f t="shared" si="4"/>
        <v>0</v>
      </c>
      <c r="G54" s="199">
        <f t="shared" si="0"/>
        <v>0</v>
      </c>
      <c r="H54" s="199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46343</v>
      </c>
      <c r="D55" s="19">
        <f t="shared" si="2"/>
        <v>0</v>
      </c>
      <c r="E55" s="20">
        <f t="shared" si="3"/>
        <v>0</v>
      </c>
      <c r="F55" s="20">
        <f t="shared" si="4"/>
        <v>0</v>
      </c>
      <c r="G55" s="199">
        <f t="shared" si="0"/>
        <v>0</v>
      </c>
      <c r="H55" s="199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46373</v>
      </c>
      <c r="D56" s="19">
        <f t="shared" si="2"/>
        <v>0</v>
      </c>
      <c r="E56" s="20">
        <f t="shared" si="3"/>
        <v>0</v>
      </c>
      <c r="F56" s="20">
        <f t="shared" si="4"/>
        <v>0</v>
      </c>
      <c r="G56" s="199">
        <f t="shared" si="0"/>
        <v>0</v>
      </c>
      <c r="H56" s="199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46404</v>
      </c>
      <c r="D57" s="19">
        <f t="shared" si="2"/>
        <v>0</v>
      </c>
      <c r="E57" s="20">
        <f t="shared" si="3"/>
        <v>0</v>
      </c>
      <c r="F57" s="20">
        <f t="shared" si="4"/>
        <v>0</v>
      </c>
      <c r="G57" s="199">
        <f t="shared" si="0"/>
        <v>0</v>
      </c>
      <c r="H57" s="199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46435</v>
      </c>
      <c r="D58" s="19">
        <f t="shared" si="2"/>
        <v>0</v>
      </c>
      <c r="E58" s="20">
        <f t="shared" si="3"/>
        <v>0</v>
      </c>
      <c r="F58" s="20">
        <f t="shared" si="4"/>
        <v>0</v>
      </c>
      <c r="G58" s="199">
        <f t="shared" si="0"/>
        <v>0</v>
      </c>
      <c r="H58" s="199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46463</v>
      </c>
      <c r="D59" s="19">
        <f t="shared" si="2"/>
        <v>0</v>
      </c>
      <c r="E59" s="20">
        <f t="shared" si="3"/>
        <v>0</v>
      </c>
      <c r="F59" s="20">
        <f t="shared" si="4"/>
        <v>0</v>
      </c>
      <c r="G59" s="199">
        <f t="shared" si="0"/>
        <v>0</v>
      </c>
      <c r="H59" s="199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46494</v>
      </c>
      <c r="D60" s="19">
        <f t="shared" si="2"/>
        <v>0</v>
      </c>
      <c r="E60" s="20">
        <f t="shared" si="3"/>
        <v>0</v>
      </c>
      <c r="F60" s="20">
        <f t="shared" si="4"/>
        <v>0</v>
      </c>
      <c r="G60" s="199">
        <f t="shared" si="0"/>
        <v>0</v>
      </c>
      <c r="H60" s="199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46524</v>
      </c>
      <c r="D61" s="19">
        <f t="shared" si="2"/>
        <v>0</v>
      </c>
      <c r="E61" s="20">
        <f t="shared" si="3"/>
        <v>0</v>
      </c>
      <c r="F61" s="20">
        <f t="shared" si="4"/>
        <v>0</v>
      </c>
      <c r="G61" s="199">
        <f t="shared" si="0"/>
        <v>0</v>
      </c>
      <c r="H61" s="199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46555</v>
      </c>
      <c r="D62" s="19">
        <f t="shared" si="2"/>
        <v>0</v>
      </c>
      <c r="E62" s="20">
        <f t="shared" si="3"/>
        <v>0</v>
      </c>
      <c r="F62" s="20">
        <f t="shared" si="4"/>
        <v>0</v>
      </c>
      <c r="G62" s="199">
        <f t="shared" si="0"/>
        <v>0</v>
      </c>
      <c r="H62" s="199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46585</v>
      </c>
      <c r="D63" s="19">
        <f t="shared" si="2"/>
        <v>0</v>
      </c>
      <c r="E63" s="20">
        <f t="shared" si="3"/>
        <v>0</v>
      </c>
      <c r="F63" s="20">
        <f t="shared" si="4"/>
        <v>0</v>
      </c>
      <c r="G63" s="199">
        <f t="shared" si="0"/>
        <v>0</v>
      </c>
      <c r="H63" s="199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46616</v>
      </c>
      <c r="D64" s="19">
        <f t="shared" si="2"/>
        <v>0</v>
      </c>
      <c r="E64" s="20">
        <f t="shared" si="3"/>
        <v>0</v>
      </c>
      <c r="F64" s="20">
        <f t="shared" si="4"/>
        <v>0</v>
      </c>
      <c r="G64" s="199">
        <f t="shared" si="0"/>
        <v>0</v>
      </c>
      <c r="H64" s="199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46647</v>
      </c>
      <c r="D65" s="19">
        <f t="shared" si="2"/>
        <v>0</v>
      </c>
      <c r="E65" s="20">
        <f t="shared" si="3"/>
        <v>0</v>
      </c>
      <c r="F65" s="20">
        <f t="shared" si="4"/>
        <v>0</v>
      </c>
      <c r="G65" s="199">
        <f t="shared" si="0"/>
        <v>0</v>
      </c>
      <c r="H65" s="199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46677</v>
      </c>
      <c r="D66" s="19">
        <f t="shared" si="2"/>
        <v>0</v>
      </c>
      <c r="E66" s="20">
        <f t="shared" si="3"/>
        <v>0</v>
      </c>
      <c r="F66" s="20">
        <f t="shared" si="4"/>
        <v>0</v>
      </c>
      <c r="G66" s="199">
        <f t="shared" si="0"/>
        <v>0</v>
      </c>
      <c r="H66" s="199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46708</v>
      </c>
      <c r="D67" s="19">
        <f t="shared" si="2"/>
        <v>0</v>
      </c>
      <c r="E67" s="20">
        <f t="shared" si="3"/>
        <v>0</v>
      </c>
      <c r="F67" s="20">
        <f t="shared" si="4"/>
        <v>0</v>
      </c>
      <c r="G67" s="199">
        <f t="shared" si="0"/>
        <v>0</v>
      </c>
      <c r="H67" s="199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46738</v>
      </c>
      <c r="D68" s="19">
        <f t="shared" si="2"/>
        <v>0</v>
      </c>
      <c r="E68" s="20">
        <f t="shared" si="3"/>
        <v>0</v>
      </c>
      <c r="F68" s="20">
        <f t="shared" si="4"/>
        <v>0</v>
      </c>
      <c r="G68" s="199">
        <f t="shared" si="0"/>
        <v>0</v>
      </c>
      <c r="H68" s="199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46769</v>
      </c>
      <c r="D69" s="19">
        <f t="shared" si="2"/>
        <v>0</v>
      </c>
      <c r="E69" s="20">
        <f t="shared" si="3"/>
        <v>0</v>
      </c>
      <c r="F69" s="20">
        <f t="shared" si="4"/>
        <v>0</v>
      </c>
      <c r="G69" s="199">
        <f t="shared" si="0"/>
        <v>0</v>
      </c>
      <c r="H69" s="199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46800</v>
      </c>
      <c r="D70" s="19">
        <f t="shared" si="2"/>
        <v>0</v>
      </c>
      <c r="E70" s="20">
        <f t="shared" si="3"/>
        <v>0</v>
      </c>
      <c r="F70" s="20">
        <f t="shared" si="4"/>
        <v>0</v>
      </c>
      <c r="G70" s="199">
        <f t="shared" si="0"/>
        <v>0</v>
      </c>
      <c r="H70" s="199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46829</v>
      </c>
      <c r="D71" s="19">
        <f t="shared" si="2"/>
        <v>0</v>
      </c>
      <c r="E71" s="20">
        <f t="shared" si="3"/>
        <v>0</v>
      </c>
      <c r="F71" s="20">
        <f t="shared" si="4"/>
        <v>0</v>
      </c>
      <c r="G71" s="199">
        <f t="shared" si="0"/>
        <v>0</v>
      </c>
      <c r="H71" s="199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46860</v>
      </c>
      <c r="D72" s="19">
        <f t="shared" si="2"/>
        <v>0</v>
      </c>
      <c r="E72" s="20">
        <f t="shared" si="3"/>
        <v>0</v>
      </c>
      <c r="F72" s="20">
        <f t="shared" si="4"/>
        <v>0</v>
      </c>
      <c r="G72" s="199">
        <f t="shared" ref="G72:G99" si="5">IF(B$40&lt;=F$21,D72+E72+F72,0)</f>
        <v>0</v>
      </c>
      <c r="H72" s="199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46890</v>
      </c>
      <c r="D73" s="19">
        <f t="shared" si="2"/>
        <v>0</v>
      </c>
      <c r="E73" s="20">
        <f t="shared" si="3"/>
        <v>0</v>
      </c>
      <c r="F73" s="20">
        <f t="shared" si="4"/>
        <v>0</v>
      </c>
      <c r="G73" s="199">
        <f t="shared" si="5"/>
        <v>0</v>
      </c>
      <c r="H73" s="199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46921</v>
      </c>
      <c r="D74" s="19">
        <f t="shared" si="2"/>
        <v>0</v>
      </c>
      <c r="E74" s="20">
        <f t="shared" si="3"/>
        <v>0</v>
      </c>
      <c r="F74" s="20">
        <f t="shared" si="4"/>
        <v>0</v>
      </c>
      <c r="G74" s="199">
        <f t="shared" si="5"/>
        <v>0</v>
      </c>
      <c r="H74" s="199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46951</v>
      </c>
      <c r="D75" s="19">
        <f t="shared" si="2"/>
        <v>0</v>
      </c>
      <c r="E75" s="20">
        <f t="shared" si="3"/>
        <v>0</v>
      </c>
      <c r="F75" s="20">
        <f t="shared" si="4"/>
        <v>0</v>
      </c>
      <c r="G75" s="199">
        <f t="shared" si="5"/>
        <v>0</v>
      </c>
      <c r="H75" s="199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46982</v>
      </c>
      <c r="D76" s="19">
        <f t="shared" si="2"/>
        <v>0</v>
      </c>
      <c r="E76" s="20">
        <f t="shared" si="3"/>
        <v>0</v>
      </c>
      <c r="F76" s="20">
        <f t="shared" si="4"/>
        <v>0</v>
      </c>
      <c r="G76" s="199">
        <f t="shared" si="5"/>
        <v>0</v>
      </c>
      <c r="H76" s="199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47013</v>
      </c>
      <c r="D77" s="19">
        <f t="shared" si="2"/>
        <v>0</v>
      </c>
      <c r="E77" s="20">
        <f t="shared" si="3"/>
        <v>0</v>
      </c>
      <c r="F77" s="20">
        <f t="shared" si="4"/>
        <v>0</v>
      </c>
      <c r="G77" s="199">
        <f t="shared" si="5"/>
        <v>0</v>
      </c>
      <c r="H77" s="199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47043</v>
      </c>
      <c r="D78" s="19">
        <f t="shared" si="2"/>
        <v>0</v>
      </c>
      <c r="E78" s="20">
        <f t="shared" si="3"/>
        <v>0</v>
      </c>
      <c r="F78" s="20">
        <f t="shared" si="4"/>
        <v>0</v>
      </c>
      <c r="G78" s="199">
        <f t="shared" si="5"/>
        <v>0</v>
      </c>
      <c r="H78" s="199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47074</v>
      </c>
      <c r="D79" s="19">
        <f t="shared" si="2"/>
        <v>0</v>
      </c>
      <c r="E79" s="20">
        <f t="shared" si="3"/>
        <v>0</v>
      </c>
      <c r="F79" s="20">
        <f t="shared" si="4"/>
        <v>0</v>
      </c>
      <c r="G79" s="199">
        <f t="shared" si="5"/>
        <v>0</v>
      </c>
      <c r="H79" s="199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47104</v>
      </c>
      <c r="D80" s="19">
        <f t="shared" si="2"/>
        <v>0</v>
      </c>
      <c r="E80" s="20">
        <f t="shared" si="3"/>
        <v>0</v>
      </c>
      <c r="F80" s="20">
        <f t="shared" si="4"/>
        <v>0</v>
      </c>
      <c r="G80" s="199">
        <f t="shared" si="5"/>
        <v>0</v>
      </c>
      <c r="H80" s="199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47135</v>
      </c>
      <c r="D81" s="19">
        <f t="shared" si="2"/>
        <v>0</v>
      </c>
      <c r="E81" s="20">
        <f t="shared" si="3"/>
        <v>0</v>
      </c>
      <c r="F81" s="20">
        <f t="shared" si="4"/>
        <v>0</v>
      </c>
      <c r="G81" s="199">
        <f t="shared" si="5"/>
        <v>0</v>
      </c>
      <c r="H81" s="199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47166</v>
      </c>
      <c r="D82" s="19">
        <f t="shared" si="2"/>
        <v>0</v>
      </c>
      <c r="E82" s="20">
        <f t="shared" si="3"/>
        <v>0</v>
      </c>
      <c r="F82" s="20">
        <f t="shared" si="4"/>
        <v>0</v>
      </c>
      <c r="G82" s="199">
        <f t="shared" si="5"/>
        <v>0</v>
      </c>
      <c r="H82" s="199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47194</v>
      </c>
      <c r="D83" s="19">
        <f t="shared" si="2"/>
        <v>0</v>
      </c>
      <c r="E83" s="20">
        <f t="shared" si="3"/>
        <v>0</v>
      </c>
      <c r="F83" s="20">
        <f t="shared" si="4"/>
        <v>0</v>
      </c>
      <c r="G83" s="199">
        <f t="shared" si="5"/>
        <v>0</v>
      </c>
      <c r="H83" s="199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47225</v>
      </c>
      <c r="D84" s="19">
        <f t="shared" si="2"/>
        <v>0</v>
      </c>
      <c r="E84" s="20">
        <f t="shared" si="3"/>
        <v>0</v>
      </c>
      <c r="F84" s="20">
        <f t="shared" si="4"/>
        <v>0</v>
      </c>
      <c r="G84" s="199">
        <f t="shared" si="5"/>
        <v>0</v>
      </c>
      <c r="H84" s="199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47255</v>
      </c>
      <c r="D85" s="19">
        <f t="shared" si="2"/>
        <v>0</v>
      </c>
      <c r="E85" s="20">
        <f t="shared" si="3"/>
        <v>0</v>
      </c>
      <c r="F85" s="20">
        <f t="shared" si="4"/>
        <v>0</v>
      </c>
      <c r="G85" s="199">
        <f t="shared" si="5"/>
        <v>0</v>
      </c>
      <c r="H85" s="199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47286</v>
      </c>
      <c r="D86" s="19">
        <f t="shared" si="2"/>
        <v>0</v>
      </c>
      <c r="E86" s="20">
        <f t="shared" si="3"/>
        <v>0</v>
      </c>
      <c r="F86" s="20">
        <f t="shared" si="4"/>
        <v>0</v>
      </c>
      <c r="G86" s="199">
        <f t="shared" si="5"/>
        <v>0</v>
      </c>
      <c r="H86" s="199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47316</v>
      </c>
      <c r="D87" s="19">
        <f t="shared" si="2"/>
        <v>0</v>
      </c>
      <c r="E87" s="20">
        <f t="shared" si="3"/>
        <v>0</v>
      </c>
      <c r="F87" s="20">
        <f t="shared" si="4"/>
        <v>0</v>
      </c>
      <c r="G87" s="199">
        <f t="shared" si="5"/>
        <v>0</v>
      </c>
      <c r="H87" s="199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47347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1">
        <f t="shared" si="4"/>
        <v>0</v>
      </c>
      <c r="G88" s="207">
        <f t="shared" si="5"/>
        <v>0</v>
      </c>
      <c r="H88" s="208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47378</v>
      </c>
      <c r="D89" s="107">
        <f t="shared" si="6"/>
        <v>0</v>
      </c>
      <c r="E89" s="108">
        <f t="shared" si="3"/>
        <v>0</v>
      </c>
      <c r="F89" s="108">
        <f t="shared" si="4"/>
        <v>0</v>
      </c>
      <c r="G89" s="209">
        <f t="shared" si="5"/>
        <v>0</v>
      </c>
      <c r="H89" s="210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47408</v>
      </c>
      <c r="D90" s="107">
        <f t="shared" si="6"/>
        <v>0</v>
      </c>
      <c r="E90" s="108">
        <f t="shared" si="3"/>
        <v>0</v>
      </c>
      <c r="F90" s="108">
        <f t="shared" si="4"/>
        <v>0</v>
      </c>
      <c r="G90" s="209">
        <f t="shared" si="5"/>
        <v>0</v>
      </c>
      <c r="H90" s="210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47439</v>
      </c>
      <c r="D91" s="107">
        <f t="shared" si="6"/>
        <v>0</v>
      </c>
      <c r="E91" s="108">
        <f t="shared" si="3"/>
        <v>0</v>
      </c>
      <c r="F91" s="108">
        <f t="shared" si="4"/>
        <v>0</v>
      </c>
      <c r="G91" s="209">
        <f t="shared" si="5"/>
        <v>0</v>
      </c>
      <c r="H91" s="210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47469</v>
      </c>
      <c r="D92" s="107">
        <f t="shared" si="6"/>
        <v>0</v>
      </c>
      <c r="E92" s="108">
        <f t="shared" si="3"/>
        <v>0</v>
      </c>
      <c r="F92" s="108">
        <f t="shared" si="4"/>
        <v>0</v>
      </c>
      <c r="G92" s="209">
        <f t="shared" si="5"/>
        <v>0</v>
      </c>
      <c r="H92" s="210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47500</v>
      </c>
      <c r="D93" s="107">
        <f t="shared" si="6"/>
        <v>0</v>
      </c>
      <c r="E93" s="108">
        <f t="shared" si="3"/>
        <v>0</v>
      </c>
      <c r="F93" s="108">
        <f t="shared" si="4"/>
        <v>0</v>
      </c>
      <c r="G93" s="209">
        <f t="shared" si="5"/>
        <v>0</v>
      </c>
      <c r="H93" s="210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47531</v>
      </c>
      <c r="D94" s="107">
        <f t="shared" si="6"/>
        <v>0</v>
      </c>
      <c r="E94" s="108">
        <f t="shared" si="3"/>
        <v>0</v>
      </c>
      <c r="F94" s="108">
        <f t="shared" si="4"/>
        <v>0</v>
      </c>
      <c r="G94" s="209">
        <f t="shared" si="5"/>
        <v>0</v>
      </c>
      <c r="H94" s="210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47559</v>
      </c>
      <c r="D95" s="107">
        <f t="shared" si="6"/>
        <v>0</v>
      </c>
      <c r="E95" s="108">
        <f t="shared" si="3"/>
        <v>0</v>
      </c>
      <c r="F95" s="108">
        <f t="shared" si="4"/>
        <v>0</v>
      </c>
      <c r="G95" s="209">
        <f t="shared" si="5"/>
        <v>0</v>
      </c>
      <c r="H95" s="210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47590</v>
      </c>
      <c r="D96" s="107">
        <f t="shared" si="6"/>
        <v>0</v>
      </c>
      <c r="E96" s="108">
        <f t="shared" si="3"/>
        <v>0</v>
      </c>
      <c r="F96" s="108">
        <f t="shared" si="4"/>
        <v>0</v>
      </c>
      <c r="G96" s="209">
        <f t="shared" si="5"/>
        <v>0</v>
      </c>
      <c r="H96" s="210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47620</v>
      </c>
      <c r="D97" s="107">
        <f t="shared" si="6"/>
        <v>0</v>
      </c>
      <c r="E97" s="108">
        <f t="shared" si="3"/>
        <v>0</v>
      </c>
      <c r="F97" s="108">
        <f t="shared" si="4"/>
        <v>0</v>
      </c>
      <c r="G97" s="209">
        <f t="shared" si="5"/>
        <v>0</v>
      </c>
      <c r="H97" s="210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47651</v>
      </c>
      <c r="D98" s="107">
        <f t="shared" si="6"/>
        <v>0</v>
      </c>
      <c r="E98" s="108">
        <f t="shared" si="3"/>
        <v>0</v>
      </c>
      <c r="F98" s="108">
        <f t="shared" si="4"/>
        <v>0</v>
      </c>
      <c r="G98" s="209">
        <f t="shared" si="5"/>
        <v>0</v>
      </c>
      <c r="H98" s="210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47681</v>
      </c>
      <c r="D99" s="107">
        <f t="shared" si="6"/>
        <v>0</v>
      </c>
      <c r="E99" s="108">
        <f t="shared" si="3"/>
        <v>0</v>
      </c>
      <c r="F99" s="108">
        <f t="shared" si="4"/>
        <v>0</v>
      </c>
      <c r="G99" s="209">
        <f t="shared" si="5"/>
        <v>0</v>
      </c>
      <c r="H99" s="210"/>
      <c r="I99" s="104"/>
      <c r="J99" s="104"/>
    </row>
    <row r="100" spans="1:19" s="4" customFormat="1" ht="16.5" thickBot="1" x14ac:dyDescent="0.25">
      <c r="A100" s="43"/>
      <c r="B100" s="205" t="s">
        <v>1</v>
      </c>
      <c r="C100" s="206"/>
      <c r="D100" s="93">
        <f>SUM(D40:D99)</f>
        <v>51000</v>
      </c>
      <c r="E100" s="93">
        <f>SUM(E40:E99)</f>
        <v>15300</v>
      </c>
      <c r="F100" s="99">
        <f>SUM(F40:F99)</f>
        <v>5</v>
      </c>
      <c r="G100" s="212">
        <f>SUM(G40:H99)</f>
        <v>66304.999999999985</v>
      </c>
      <c r="H100" s="213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11" t="s">
        <v>6</v>
      </c>
      <c r="F102" s="211"/>
      <c r="G102" s="211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ieZXz6ySdKWC5l2zbps81wh7voq0cNQXPLb1cehbkgOHVZxlB8nxULqhki11WF9mny30TJsZJTi6qlTsvHu58Q==" saltValue="9JZbxaC6hVptZq7tmcKc5g==" spinCount="100000" sheet="1" selectLockedCells="1"/>
  <dataConsolidate/>
  <mergeCells count="93"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G56:H56"/>
    <mergeCell ref="G51:H51"/>
    <mergeCell ref="G52:H52"/>
    <mergeCell ref="G53:H53"/>
    <mergeCell ref="G57:H57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42:H42"/>
    <mergeCell ref="G40:H40"/>
    <mergeCell ref="G41:H41"/>
    <mergeCell ref="B33:C33"/>
    <mergeCell ref="B34:C34"/>
    <mergeCell ref="B37:H37"/>
    <mergeCell ref="B38:C38"/>
    <mergeCell ref="G38:H38"/>
    <mergeCell ref="G43:H43"/>
    <mergeCell ref="G44:H44"/>
    <mergeCell ref="G50:H50"/>
    <mergeCell ref="G48:H48"/>
    <mergeCell ref="G49:H49"/>
    <mergeCell ref="G45:H45"/>
    <mergeCell ref="G46:H46"/>
    <mergeCell ref="G47:H47"/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</mergeCells>
  <dataValidations count="1">
    <dataValidation type="list" allowBlank="1" showInputMessage="1" showErrorMessage="1" sqref="H2:I2" xr:uid="{00000000-0002-0000-0000-000000000000}">
      <formula1>$L$7:$L$13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1" t="s">
        <v>60</v>
      </c>
      <c r="E2" s="241"/>
      <c r="F2" s="241"/>
      <c r="G2" s="241"/>
      <c r="H2" s="241"/>
      <c r="I2" s="241"/>
      <c r="J2" s="241"/>
      <c r="K2" s="241"/>
    </row>
    <row r="5" spans="2:11" ht="13.15" customHeight="1" x14ac:dyDescent="0.2">
      <c r="B5" s="231" t="s">
        <v>151</v>
      </c>
      <c r="C5" s="231"/>
      <c r="D5" s="179" t="s">
        <v>154</v>
      </c>
      <c r="E5" s="179" t="s">
        <v>49</v>
      </c>
    </row>
    <row r="6" spans="2:11" ht="13.15" customHeight="1" x14ac:dyDescent="0.2">
      <c r="B6" s="232" t="s">
        <v>155</v>
      </c>
      <c r="C6" s="233"/>
      <c r="D6" s="178" t="s">
        <v>61</v>
      </c>
      <c r="E6" s="178" t="s">
        <v>62</v>
      </c>
    </row>
    <row r="7" spans="2:11" x14ac:dyDescent="0.2">
      <c r="B7" s="234"/>
      <c r="C7" s="235"/>
      <c r="D7" s="178" t="s">
        <v>63</v>
      </c>
      <c r="E7" s="178" t="s">
        <v>64</v>
      </c>
    </row>
    <row r="8" spans="2:11" x14ac:dyDescent="0.2">
      <c r="B8" s="234"/>
      <c r="C8" s="235"/>
      <c r="D8" s="178" t="s">
        <v>65</v>
      </c>
      <c r="E8" s="178" t="s">
        <v>66</v>
      </c>
    </row>
    <row r="9" spans="2:11" x14ac:dyDescent="0.2">
      <c r="B9" s="234"/>
      <c r="C9" s="235"/>
      <c r="D9" s="178" t="s">
        <v>67</v>
      </c>
      <c r="E9" s="178" t="s">
        <v>68</v>
      </c>
    </row>
    <row r="10" spans="2:11" x14ac:dyDescent="0.2">
      <c r="B10" s="234"/>
      <c r="C10" s="235"/>
      <c r="D10" s="178" t="s">
        <v>69</v>
      </c>
      <c r="E10" s="178" t="s">
        <v>57</v>
      </c>
    </row>
    <row r="11" spans="2:11" x14ac:dyDescent="0.2">
      <c r="B11" s="234"/>
      <c r="C11" s="235"/>
      <c r="D11" s="178" t="s">
        <v>70</v>
      </c>
      <c r="E11" s="178" t="s">
        <v>71</v>
      </c>
    </row>
    <row r="12" spans="2:11" x14ac:dyDescent="0.2">
      <c r="B12" s="234"/>
      <c r="C12" s="235"/>
      <c r="D12" s="178" t="s">
        <v>72</v>
      </c>
      <c r="E12" s="178" t="s">
        <v>73</v>
      </c>
    </row>
    <row r="13" spans="2:11" x14ac:dyDescent="0.2">
      <c r="B13" s="234"/>
      <c r="C13" s="235"/>
      <c r="D13" s="178" t="s">
        <v>74</v>
      </c>
      <c r="E13" s="178" t="s">
        <v>75</v>
      </c>
    </row>
    <row r="14" spans="2:11" x14ac:dyDescent="0.2">
      <c r="B14" s="234"/>
      <c r="C14" s="235"/>
      <c r="D14" s="178" t="s">
        <v>76</v>
      </c>
      <c r="E14" s="178" t="s">
        <v>77</v>
      </c>
    </row>
    <row r="15" spans="2:11" x14ac:dyDescent="0.2">
      <c r="B15" s="234"/>
      <c r="C15" s="235"/>
      <c r="D15" s="178" t="s">
        <v>78</v>
      </c>
      <c r="E15" s="178" t="s">
        <v>79</v>
      </c>
    </row>
    <row r="16" spans="2:11" x14ac:dyDescent="0.2">
      <c r="B16" s="234"/>
      <c r="C16" s="235"/>
      <c r="D16" s="178" t="s">
        <v>80</v>
      </c>
      <c r="E16" s="178" t="s">
        <v>81</v>
      </c>
    </row>
    <row r="17" spans="2:5" x14ac:dyDescent="0.2">
      <c r="B17" s="234"/>
      <c r="C17" s="235"/>
      <c r="D17" s="178" t="s">
        <v>82</v>
      </c>
      <c r="E17" s="178" t="s">
        <v>83</v>
      </c>
    </row>
    <row r="18" spans="2:5" x14ac:dyDescent="0.2">
      <c r="B18" s="234"/>
      <c r="C18" s="235"/>
      <c r="D18" s="178" t="s">
        <v>84</v>
      </c>
      <c r="E18" s="178" t="s">
        <v>85</v>
      </c>
    </row>
    <row r="19" spans="2:5" x14ac:dyDescent="0.2">
      <c r="B19" s="234"/>
      <c r="C19" s="235"/>
      <c r="D19" s="178" t="s">
        <v>86</v>
      </c>
      <c r="E19" s="178" t="s">
        <v>87</v>
      </c>
    </row>
    <row r="20" spans="2:5" x14ac:dyDescent="0.2">
      <c r="B20" s="234"/>
      <c r="C20" s="235"/>
      <c r="D20" s="178" t="s">
        <v>88</v>
      </c>
      <c r="E20" s="178" t="s">
        <v>89</v>
      </c>
    </row>
    <row r="21" spans="2:5" x14ac:dyDescent="0.2">
      <c r="B21" s="234"/>
      <c r="C21" s="235"/>
      <c r="D21" s="178" t="s">
        <v>90</v>
      </c>
      <c r="E21" s="178" t="s">
        <v>91</v>
      </c>
    </row>
    <row r="22" spans="2:5" x14ac:dyDescent="0.2">
      <c r="B22" s="234"/>
      <c r="C22" s="235"/>
      <c r="D22" s="178" t="s">
        <v>92</v>
      </c>
      <c r="E22" s="178" t="s">
        <v>93</v>
      </c>
    </row>
    <row r="23" spans="2:5" x14ac:dyDescent="0.2">
      <c r="B23" s="234"/>
      <c r="C23" s="235"/>
      <c r="D23" s="178" t="s">
        <v>94</v>
      </c>
      <c r="E23" s="178" t="s">
        <v>95</v>
      </c>
    </row>
    <row r="24" spans="2:5" x14ac:dyDescent="0.2">
      <c r="B24" s="234"/>
      <c r="C24" s="235"/>
      <c r="D24" s="178" t="s">
        <v>96</v>
      </c>
      <c r="E24" s="178" t="s">
        <v>97</v>
      </c>
    </row>
    <row r="25" spans="2:5" x14ac:dyDescent="0.2">
      <c r="B25" s="234"/>
      <c r="C25" s="235"/>
      <c r="D25" s="178" t="s">
        <v>98</v>
      </c>
      <c r="E25" s="178" t="s">
        <v>99</v>
      </c>
    </row>
    <row r="26" spans="2:5" x14ac:dyDescent="0.2">
      <c r="B26" s="234"/>
      <c r="C26" s="235"/>
      <c r="D26" s="178" t="s">
        <v>100</v>
      </c>
      <c r="E26" s="178" t="s">
        <v>101</v>
      </c>
    </row>
    <row r="27" spans="2:5" x14ac:dyDescent="0.2">
      <c r="B27" s="234"/>
      <c r="C27" s="235"/>
      <c r="D27" s="178" t="s">
        <v>102</v>
      </c>
      <c r="E27" s="178" t="s">
        <v>103</v>
      </c>
    </row>
    <row r="28" spans="2:5" x14ac:dyDescent="0.2">
      <c r="B28" s="234"/>
      <c r="C28" s="235"/>
      <c r="D28" s="178" t="s">
        <v>104</v>
      </c>
      <c r="E28" s="178" t="s">
        <v>105</v>
      </c>
    </row>
    <row r="29" spans="2:5" x14ac:dyDescent="0.2">
      <c r="B29" s="234"/>
      <c r="C29" s="235"/>
      <c r="D29" s="178" t="s">
        <v>50</v>
      </c>
      <c r="E29" s="178" t="s">
        <v>51</v>
      </c>
    </row>
    <row r="30" spans="2:5" x14ac:dyDescent="0.2">
      <c r="B30" s="234"/>
      <c r="C30" s="235"/>
      <c r="D30" s="178" t="s">
        <v>106</v>
      </c>
      <c r="E30" s="178" t="s">
        <v>107</v>
      </c>
    </row>
    <row r="31" spans="2:5" x14ac:dyDescent="0.2">
      <c r="B31" s="234"/>
      <c r="C31" s="235"/>
      <c r="D31" s="178" t="s">
        <v>108</v>
      </c>
      <c r="E31" s="178" t="s">
        <v>109</v>
      </c>
    </row>
    <row r="32" spans="2:5" x14ac:dyDescent="0.2">
      <c r="B32" s="234"/>
      <c r="C32" s="235"/>
      <c r="D32" s="178" t="s">
        <v>110</v>
      </c>
      <c r="E32" s="178" t="s">
        <v>52</v>
      </c>
    </row>
    <row r="33" spans="2:5" x14ac:dyDescent="0.2">
      <c r="B33" s="234"/>
      <c r="C33" s="235"/>
      <c r="D33" s="178" t="s">
        <v>111</v>
      </c>
      <c r="E33" s="178" t="s">
        <v>112</v>
      </c>
    </row>
    <row r="34" spans="2:5" x14ac:dyDescent="0.2">
      <c r="B34" s="234"/>
      <c r="C34" s="235"/>
      <c r="D34" s="178" t="s">
        <v>113</v>
      </c>
      <c r="E34" s="178" t="s">
        <v>114</v>
      </c>
    </row>
    <row r="35" spans="2:5" x14ac:dyDescent="0.2">
      <c r="B35" s="234"/>
      <c r="C35" s="235"/>
      <c r="D35" s="178" t="s">
        <v>117</v>
      </c>
      <c r="E35" s="178" t="s">
        <v>118</v>
      </c>
    </row>
    <row r="36" spans="2:5" x14ac:dyDescent="0.2">
      <c r="B36" s="234"/>
      <c r="C36" s="235"/>
      <c r="D36" s="178" t="s">
        <v>119</v>
      </c>
      <c r="E36" s="178" t="s">
        <v>120</v>
      </c>
    </row>
    <row r="37" spans="2:5" x14ac:dyDescent="0.2">
      <c r="B37" s="234"/>
      <c r="C37" s="235"/>
      <c r="D37" s="178" t="s">
        <v>121</v>
      </c>
      <c r="E37" s="178" t="s">
        <v>122</v>
      </c>
    </row>
    <row r="38" spans="2:5" x14ac:dyDescent="0.2">
      <c r="B38" s="234"/>
      <c r="C38" s="235"/>
      <c r="D38" s="178" t="s">
        <v>123</v>
      </c>
      <c r="E38" s="178" t="s">
        <v>124</v>
      </c>
    </row>
    <row r="39" spans="2:5" x14ac:dyDescent="0.2">
      <c r="B39" s="234"/>
      <c r="C39" s="235"/>
      <c r="D39" s="178" t="s">
        <v>125</v>
      </c>
      <c r="E39" s="178" t="s">
        <v>126</v>
      </c>
    </row>
    <row r="40" spans="2:5" x14ac:dyDescent="0.2">
      <c r="B40" s="234"/>
      <c r="C40" s="235"/>
      <c r="D40" s="178" t="s">
        <v>53</v>
      </c>
      <c r="E40" s="178" t="s">
        <v>127</v>
      </c>
    </row>
    <row r="41" spans="2:5" x14ac:dyDescent="0.2">
      <c r="B41" s="234"/>
      <c r="C41" s="235"/>
      <c r="D41" s="178" t="s">
        <v>128</v>
      </c>
      <c r="E41" s="178" t="s">
        <v>129</v>
      </c>
    </row>
    <row r="42" spans="2:5" x14ac:dyDescent="0.2">
      <c r="B42" s="234"/>
      <c r="C42" s="235"/>
      <c r="D42" s="178" t="s">
        <v>130</v>
      </c>
      <c r="E42" s="178" t="s">
        <v>131</v>
      </c>
    </row>
    <row r="43" spans="2:5" x14ac:dyDescent="0.2">
      <c r="B43" s="234"/>
      <c r="C43" s="235"/>
      <c r="D43" s="178" t="s">
        <v>132</v>
      </c>
      <c r="E43" s="178" t="s">
        <v>133</v>
      </c>
    </row>
    <row r="44" spans="2:5" x14ac:dyDescent="0.2">
      <c r="B44" s="234"/>
      <c r="C44" s="235"/>
      <c r="D44" s="178" t="s">
        <v>134</v>
      </c>
      <c r="E44" s="178" t="s">
        <v>135</v>
      </c>
    </row>
    <row r="45" spans="2:5" x14ac:dyDescent="0.2">
      <c r="B45" s="234"/>
      <c r="C45" s="235"/>
      <c r="D45" s="178" t="s">
        <v>54</v>
      </c>
      <c r="E45" s="178" t="s">
        <v>55</v>
      </c>
    </row>
    <row r="46" spans="2:5" x14ac:dyDescent="0.2">
      <c r="B46" s="234"/>
      <c r="C46" s="235"/>
      <c r="D46" s="178" t="s">
        <v>136</v>
      </c>
      <c r="E46" s="178" t="s">
        <v>137</v>
      </c>
    </row>
    <row r="47" spans="2:5" x14ac:dyDescent="0.2">
      <c r="B47" s="234"/>
      <c r="C47" s="235"/>
      <c r="D47" s="178" t="s">
        <v>138</v>
      </c>
      <c r="E47" s="178" t="s">
        <v>56</v>
      </c>
    </row>
    <row r="48" spans="2:5" x14ac:dyDescent="0.2">
      <c r="B48" s="234"/>
      <c r="C48" s="235"/>
      <c r="D48" s="178" t="s">
        <v>139</v>
      </c>
      <c r="E48" s="178" t="s">
        <v>140</v>
      </c>
    </row>
    <row r="49" spans="2:5" x14ac:dyDescent="0.2">
      <c r="B49" s="234"/>
      <c r="C49" s="235"/>
      <c r="D49" s="178" t="s">
        <v>141</v>
      </c>
      <c r="E49" s="178" t="s">
        <v>142</v>
      </c>
    </row>
    <row r="50" spans="2:5" x14ac:dyDescent="0.2">
      <c r="B50" s="234"/>
      <c r="C50" s="235"/>
      <c r="D50" s="178" t="s">
        <v>145</v>
      </c>
      <c r="E50" s="178" t="s">
        <v>146</v>
      </c>
    </row>
    <row r="51" spans="2:5" x14ac:dyDescent="0.2">
      <c r="B51" s="234"/>
      <c r="C51" s="235"/>
      <c r="D51" s="178" t="s">
        <v>147</v>
      </c>
      <c r="E51" s="178" t="s">
        <v>148</v>
      </c>
    </row>
    <row r="52" spans="2:5" x14ac:dyDescent="0.2">
      <c r="B52" s="234"/>
      <c r="C52" s="235"/>
      <c r="D52" s="178" t="s">
        <v>149</v>
      </c>
      <c r="E52" s="178" t="s">
        <v>150</v>
      </c>
    </row>
    <row r="53" spans="2:5" ht="13.15" customHeight="1" x14ac:dyDescent="0.2">
      <c r="B53" s="236"/>
      <c r="C53" s="237"/>
      <c r="D53" s="178" t="s">
        <v>58</v>
      </c>
      <c r="E53" s="178" t="s">
        <v>59</v>
      </c>
    </row>
    <row r="54" spans="2:5" x14ac:dyDescent="0.2">
      <c r="B54" s="238" t="s">
        <v>152</v>
      </c>
      <c r="C54" s="239"/>
      <c r="D54" s="183" t="s">
        <v>115</v>
      </c>
      <c r="E54" s="183" t="s">
        <v>116</v>
      </c>
    </row>
    <row r="55" spans="2:5" x14ac:dyDescent="0.2">
      <c r="B55" s="240" t="s">
        <v>153</v>
      </c>
      <c r="C55" s="240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A19" sqref="A19:B19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47" t="s">
        <v>16</v>
      </c>
      <c r="B1" s="248"/>
      <c r="C1" s="248"/>
      <c r="D1" s="249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42" t="s">
        <v>44</v>
      </c>
      <c r="B3" s="243">
        <v>0</v>
      </c>
      <c r="C3" s="243">
        <v>0</v>
      </c>
      <c r="D3" s="244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42" t="s">
        <v>45</v>
      </c>
      <c r="B5" s="243">
        <v>0</v>
      </c>
      <c r="C5" s="243">
        <v>0</v>
      </c>
      <c r="D5" s="244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42" t="s">
        <v>46</v>
      </c>
      <c r="B7" s="243">
        <v>0</v>
      </c>
      <c r="C7" s="243">
        <v>0</v>
      </c>
      <c r="D7" s="244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42" t="s">
        <v>158</v>
      </c>
      <c r="B9" s="243"/>
      <c r="C9" s="243"/>
      <c r="D9" s="244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42" t="s">
        <v>157</v>
      </c>
      <c r="B12" s="243">
        <v>0</v>
      </c>
      <c r="C12" s="243">
        <v>0</v>
      </c>
      <c r="D12" s="244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42" t="s">
        <v>47</v>
      </c>
      <c r="B14" s="243">
        <v>0</v>
      </c>
      <c r="C14" s="243">
        <v>0</v>
      </c>
      <c r="D14" s="244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42" t="s">
        <v>156</v>
      </c>
      <c r="B16" s="243">
        <v>0</v>
      </c>
      <c r="C16" s="243">
        <v>0</v>
      </c>
      <c r="D16" s="244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45" t="s">
        <v>8</v>
      </c>
      <c r="B19" s="246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50" t="s">
        <v>20</v>
      </c>
      <c r="B20" s="251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50" t="s">
        <v>9</v>
      </c>
      <c r="B21" s="251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50" t="s">
        <v>18</v>
      </c>
      <c r="B22" s="251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50" t="s">
        <v>19</v>
      </c>
      <c r="B23" s="251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53" t="s">
        <v>30</v>
      </c>
      <c r="B26" s="254"/>
      <c r="C26" s="254"/>
      <c r="D26" s="254"/>
      <c r="E26" s="254"/>
      <c r="F26" s="254"/>
      <c r="G26" s="255"/>
    </row>
    <row r="27" spans="1:8" ht="45.75" thickBot="1" x14ac:dyDescent="0.25">
      <c r="A27" s="256" t="s">
        <v>2</v>
      </c>
      <c r="B27" s="257"/>
      <c r="C27" s="83" t="s">
        <v>4</v>
      </c>
      <c r="D27" s="83" t="s">
        <v>17</v>
      </c>
      <c r="E27" s="83" t="s">
        <v>5</v>
      </c>
      <c r="F27" s="258" t="s">
        <v>3</v>
      </c>
      <c r="G27" s="259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52"/>
      <c r="E29" s="252"/>
      <c r="F29" s="252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20:B20"/>
    <mergeCell ref="A21:B21"/>
    <mergeCell ref="D29:F29"/>
    <mergeCell ref="A23:B23"/>
    <mergeCell ref="A26:G26"/>
    <mergeCell ref="A27:B27"/>
    <mergeCell ref="F27:G27"/>
    <mergeCell ref="A22:B22"/>
    <mergeCell ref="A12:D12"/>
    <mergeCell ref="A14:D14"/>
    <mergeCell ref="A16:D16"/>
    <mergeCell ref="A19:B19"/>
    <mergeCell ref="A1:D1"/>
    <mergeCell ref="A3:D3"/>
    <mergeCell ref="A5:D5"/>
    <mergeCell ref="A7:D7"/>
    <mergeCell ref="A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"/>
  <sheetViews>
    <sheetView zoomScale="85" zoomScaleNormal="85" workbookViewId="0">
      <selection activeCell="K9" sqref="K9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85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85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85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164</v>
      </c>
      <c r="B4" s="121">
        <v>196078.43</v>
      </c>
      <c r="C4" s="151">
        <v>12</v>
      </c>
      <c r="D4" s="152">
        <v>1E-4</v>
      </c>
      <c r="E4" s="152">
        <v>0</v>
      </c>
      <c r="F4" s="152">
        <v>2.5000000000000001E-2</v>
      </c>
      <c r="G4" s="151" t="str">
        <f t="shared" ref="G4:G7" si="0">I$2&amp;" "&amp;B4&amp;" "&amp;H$2</f>
        <v>max. 196078,43 грн.</v>
      </c>
      <c r="H4" s="184">
        <f>B4+B4*K4</f>
        <v>199999.99859999999</v>
      </c>
      <c r="I4" s="151">
        <v>0</v>
      </c>
      <c r="K4" s="186">
        <v>0.02</v>
      </c>
      <c r="L4" s="153">
        <f t="shared" ref="L4" si="1">D4/12/(1-1/POWER(1+D4/12,C4))*H4+H4*F4</f>
        <v>21667.569306479203</v>
      </c>
      <c r="M4" s="154">
        <f t="shared" ref="M4:M7" si="2">F4</f>
        <v>2.5000000000000001E-2</v>
      </c>
      <c r="N4" s="154"/>
      <c r="O4" s="155">
        <v>0</v>
      </c>
      <c r="P4" s="151">
        <v>1000</v>
      </c>
    </row>
    <row r="5" spans="1:16" s="151" customFormat="1" x14ac:dyDescent="0.2">
      <c r="A5" s="151" t="s">
        <v>165</v>
      </c>
      <c r="B5" s="121">
        <v>196078.43</v>
      </c>
      <c r="C5" s="151">
        <v>24</v>
      </c>
      <c r="D5" s="152">
        <v>1E-4</v>
      </c>
      <c r="E5" s="152">
        <v>0</v>
      </c>
      <c r="F5" s="152">
        <v>2.5000000000000001E-2</v>
      </c>
      <c r="G5" s="151" t="str">
        <f t="shared" si="0"/>
        <v>max. 196078,43 грн.</v>
      </c>
      <c r="H5" s="184">
        <f t="shared" ref="H5:H7" si="3">B5+B5*K5</f>
        <v>199999.99859999999</v>
      </c>
      <c r="I5" s="151">
        <v>0</v>
      </c>
      <c r="K5" s="186">
        <v>0.02</v>
      </c>
      <c r="L5" s="153">
        <f t="shared" ref="L5:L7" si="4">D5/12/(1-1/POWER(1+D5/12,C5))*H5+H5*F5</f>
        <v>13334.201323234782</v>
      </c>
      <c r="M5" s="154">
        <f t="shared" si="2"/>
        <v>2.5000000000000001E-2</v>
      </c>
      <c r="N5" s="154"/>
      <c r="O5" s="155">
        <v>0</v>
      </c>
      <c r="P5" s="151">
        <v>1000</v>
      </c>
    </row>
    <row r="6" spans="1:16" x14ac:dyDescent="0.2">
      <c r="A6" s="151" t="s">
        <v>166</v>
      </c>
      <c r="B6" s="121">
        <v>196078.43</v>
      </c>
      <c r="C6" s="151">
        <v>36</v>
      </c>
      <c r="D6" s="152">
        <v>1E-4</v>
      </c>
      <c r="E6" s="152">
        <v>0</v>
      </c>
      <c r="F6" s="152">
        <v>2.5000000000000001E-2</v>
      </c>
      <c r="G6" s="151" t="str">
        <f t="shared" si="0"/>
        <v>max. 196078,43 грн.</v>
      </c>
      <c r="H6" s="184">
        <f t="shared" si="3"/>
        <v>199999.99859999999</v>
      </c>
      <c r="I6" s="151">
        <v>0</v>
      </c>
      <c r="J6" s="151"/>
      <c r="K6" s="186">
        <v>0.02</v>
      </c>
      <c r="L6" s="153">
        <f t="shared" si="4"/>
        <v>10556.412004747373</v>
      </c>
      <c r="M6" s="154">
        <f t="shared" si="2"/>
        <v>2.5000000000000001E-2</v>
      </c>
      <c r="N6" s="154"/>
      <c r="O6" s="155">
        <v>0</v>
      </c>
      <c r="P6" s="151">
        <v>1000</v>
      </c>
    </row>
    <row r="7" spans="1:16" s="151" customFormat="1" x14ac:dyDescent="0.2">
      <c r="A7" s="151" t="s">
        <v>163</v>
      </c>
      <c r="B7" s="121">
        <v>75000</v>
      </c>
      <c r="C7" s="151">
        <v>12</v>
      </c>
      <c r="D7" s="152">
        <v>1E-4</v>
      </c>
      <c r="E7" s="152">
        <v>0</v>
      </c>
      <c r="F7" s="152">
        <v>4.99E-2</v>
      </c>
      <c r="G7" s="151" t="str">
        <f t="shared" si="0"/>
        <v>max. 75000 грн.</v>
      </c>
      <c r="H7" s="184">
        <f t="shared" si="3"/>
        <v>75000</v>
      </c>
      <c r="I7" s="151">
        <v>3</v>
      </c>
      <c r="K7" s="186">
        <v>0</v>
      </c>
      <c r="L7" s="153">
        <f t="shared" si="4"/>
        <v>9992.8385468070719</v>
      </c>
      <c r="M7" s="154">
        <f t="shared" si="2"/>
        <v>4.99E-2</v>
      </c>
      <c r="N7" s="154"/>
      <c r="O7" s="155">
        <v>0</v>
      </c>
      <c r="P7" s="151">
        <v>1000</v>
      </c>
    </row>
    <row r="8" spans="1:16" s="151" customFormat="1" x14ac:dyDescent="0.2">
      <c r="A8" s="151" t="s">
        <v>162</v>
      </c>
      <c r="B8" s="121">
        <v>71428.570000000007</v>
      </c>
      <c r="C8" s="151">
        <v>12</v>
      </c>
      <c r="D8" s="152">
        <v>1E-4</v>
      </c>
      <c r="E8" s="152">
        <v>0</v>
      </c>
      <c r="F8" s="152">
        <v>4.99E-2</v>
      </c>
      <c r="G8" s="151" t="str">
        <f t="shared" ref="G8:G10" si="5">I$2&amp;" "&amp;B8&amp;" "&amp;H$2</f>
        <v>max. 71428,57 грн.</v>
      </c>
      <c r="H8" s="184">
        <f t="shared" ref="H8:H10" si="6">B8+B8*K8</f>
        <v>74999.998500000002</v>
      </c>
      <c r="I8" s="151">
        <v>5</v>
      </c>
      <c r="K8" s="186">
        <v>0.05</v>
      </c>
      <c r="L8" s="153">
        <f t="shared" ref="L8:L10" si="7">D8/12/(1-1/POWER(1+D8/12,C8))*H8+H8*F8</f>
        <v>9992.8383469503005</v>
      </c>
      <c r="M8" s="154">
        <f t="shared" ref="M8:M10" si="8">F8</f>
        <v>4.99E-2</v>
      </c>
      <c r="N8" s="154"/>
      <c r="O8" s="155">
        <v>0</v>
      </c>
      <c r="P8" s="151">
        <v>1000</v>
      </c>
    </row>
    <row r="9" spans="1:16" x14ac:dyDescent="0.2">
      <c r="A9" s="151" t="s">
        <v>160</v>
      </c>
      <c r="B9" s="121">
        <v>73891.63</v>
      </c>
      <c r="C9" s="151">
        <v>12</v>
      </c>
      <c r="D9" s="152">
        <v>1E-4</v>
      </c>
      <c r="E9" s="152">
        <v>0</v>
      </c>
      <c r="F9" s="152">
        <v>4.99E-2</v>
      </c>
      <c r="G9" s="151" t="str">
        <f t="shared" si="5"/>
        <v>max. 73891,63 грн.</v>
      </c>
      <c r="H9" s="184">
        <f t="shared" si="6"/>
        <v>75000.004450000008</v>
      </c>
      <c r="I9" s="151">
        <v>6</v>
      </c>
      <c r="J9" s="151"/>
      <c r="K9" s="186">
        <v>1.4999999999999999E-2</v>
      </c>
      <c r="L9" s="153">
        <f t="shared" si="7"/>
        <v>9992.8391397154937</v>
      </c>
      <c r="M9" s="154">
        <f t="shared" si="8"/>
        <v>4.99E-2</v>
      </c>
      <c r="N9" s="154"/>
      <c r="O9" s="155">
        <v>0</v>
      </c>
      <c r="P9" s="151">
        <v>1000</v>
      </c>
    </row>
    <row r="10" spans="1:16" x14ac:dyDescent="0.2">
      <c r="A10" s="151" t="s">
        <v>161</v>
      </c>
      <c r="B10" s="121">
        <v>67567.570000000007</v>
      </c>
      <c r="C10" s="151">
        <v>24</v>
      </c>
      <c r="D10" s="152">
        <v>1E-4</v>
      </c>
      <c r="E10" s="152">
        <v>0</v>
      </c>
      <c r="F10" s="152">
        <v>4.99E-2</v>
      </c>
      <c r="G10" s="151" t="str">
        <f t="shared" si="5"/>
        <v>max. 67567,57 грн.</v>
      </c>
      <c r="H10" s="184">
        <f t="shared" si="6"/>
        <v>75000.002700000012</v>
      </c>
      <c r="I10" s="151">
        <v>9</v>
      </c>
      <c r="J10" s="151"/>
      <c r="K10" s="186">
        <v>0.11</v>
      </c>
      <c r="L10" s="153">
        <f t="shared" si="7"/>
        <v>6867.8257784570424</v>
      </c>
      <c r="M10" s="154">
        <f t="shared" si="8"/>
        <v>4.99E-2</v>
      </c>
      <c r="N10" s="154"/>
      <c r="O10" s="155">
        <v>0</v>
      </c>
      <c r="P10" s="151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 Ідея_ТзОВ Армстронг</vt:lpstr>
      <vt:lpstr>Перелік партнерів</vt:lpstr>
      <vt:lpstr>Назви</vt:lpstr>
      <vt:lpstr>Лист2</vt:lpstr>
      <vt:lpstr>'NST Ідея_ТзОВ Армстронг'!Область_друку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2025-07-17T07:39:49Z</dcterms:modified>
</cp:coreProperties>
</file>