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I-Shop_Satellite\"/>
    </mc:Choice>
  </mc:AlternateContent>
  <xr:revisionPtr revIDLastSave="0" documentId="13_ncr:1_{6E3BB652-BFB4-46B7-8754-979B80EB0C7D}" xr6:coauthVersionLast="47" xr6:coauthVersionMax="47" xr10:uidLastSave="{00000000-0000-0000-0000-000000000000}"/>
  <workbookProtection workbookAlgorithmName="SHA-512" workbookHashValue="CnOrlGL0xDi6/EBSuo5ERlb3U2bCsykU7vOm8LPH/4LK2YvdtcI5fzBC9Zkc8zNy4Uc8EcZsXg2H7YN5bMNlOg==" workbookSaltValue="auNG88v0OOoLrnCuHsVWeg==" workbookSpinCount="100000" lockStructure="1"/>
  <bookViews>
    <workbookView xWindow="-120" yWindow="-120" windowWidth="29040" windowHeight="15990" tabRatio="863" xr2:uid="{00000000-000D-0000-FFFF-FFFF00000000}"/>
  </bookViews>
  <sheets>
    <sheet name="I-Shop_0-10-24 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'I-Shop_0-10-24 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F2" i="164" l="1"/>
  <c r="H4" i="165"/>
  <c r="E2" i="164"/>
  <c r="G2" i="164"/>
  <c r="G3" i="164"/>
  <c r="G39" i="164" l="1"/>
  <c r="G4" i="165" l="1"/>
  <c r="B28" i="164" l="1"/>
  <c r="B26" i="164"/>
  <c r="B24" i="164"/>
  <c r="B11" i="164"/>
  <c r="F17" i="164" l="1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F62" i="164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F73" i="164"/>
  <c r="F67" i="164"/>
  <c r="E78" i="164"/>
  <c r="F92" i="164"/>
  <c r="F52" i="164"/>
  <c r="F60" i="164"/>
  <c r="E97" i="164"/>
  <c r="F99" i="164"/>
  <c r="F69" i="164"/>
  <c r="F50" i="164"/>
  <c r="E94" i="164"/>
  <c r="F83" i="164"/>
  <c r="F76" i="164"/>
  <c r="E80" i="164"/>
  <c r="F48" i="164"/>
  <c r="F53" i="164"/>
  <c r="F51" i="164"/>
  <c r="F61" i="164"/>
  <c r="E85" i="164"/>
  <c r="F75" i="164"/>
  <c r="F91" i="164"/>
  <c r="F68" i="164"/>
  <c r="F84" i="164"/>
  <c r="F94" i="164"/>
  <c r="F96" i="164"/>
  <c r="F46" i="164"/>
  <c r="F23" i="161"/>
  <c r="G21" i="161"/>
  <c r="F97" i="164"/>
  <c r="F58" i="164"/>
  <c r="F45" i="164"/>
  <c r="F42" i="164"/>
  <c r="F43" i="164"/>
  <c r="F44" i="164"/>
  <c r="F40" i="164"/>
  <c r="E90" i="164"/>
  <c r="E98" i="164"/>
  <c r="E91" i="164"/>
  <c r="E81" i="164"/>
  <c r="E99" i="164"/>
  <c r="F71" i="164"/>
  <c r="F79" i="164"/>
  <c r="F87" i="164"/>
  <c r="F95" i="164"/>
  <c r="F64" i="164"/>
  <c r="F72" i="164"/>
  <c r="F80" i="164"/>
  <c r="F88" i="164"/>
  <c r="E96" i="164"/>
  <c r="E79" i="164"/>
  <c r="F85" i="164"/>
  <c r="F78" i="164"/>
  <c r="F47" i="164"/>
  <c r="F49" i="164"/>
  <c r="F59" i="164"/>
  <c r="F70" i="164"/>
  <c r="E83" i="164"/>
  <c r="F90" i="164"/>
  <c r="F77" i="164"/>
  <c r="E88" i="164"/>
  <c r="E95" i="164"/>
  <c r="F82" i="164"/>
  <c r="F89" i="164"/>
  <c r="F65" i="164"/>
  <c r="E76" i="164"/>
  <c r="F56" i="164"/>
  <c r="F55" i="164"/>
  <c r="F54" i="164"/>
  <c r="F57" i="164"/>
  <c r="F41" i="164"/>
  <c r="F63" i="164"/>
  <c r="F98" i="164"/>
  <c r="F86" i="164"/>
  <c r="F74" i="164"/>
  <c r="F66" i="164"/>
  <c r="F93" i="164"/>
  <c r="F81" i="164"/>
  <c r="E93" i="164"/>
  <c r="E89" i="164"/>
  <c r="E92" i="164"/>
  <c r="E84" i="164"/>
  <c r="E75" i="164" l="1"/>
  <c r="E64" i="164"/>
  <c r="E66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75" i="164" l="1"/>
  <c r="G64" i="164"/>
  <c r="G66" i="164"/>
  <c r="G59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<sst xmlns="http://schemas.openxmlformats.org/spreadsheetml/2006/main" count="169" uniqueCount="161">
  <si>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</si>
  <si>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</si>
  <si>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</si>
  <si>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</si>
  <si>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</si>
  <si>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</si>
  <si>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</si>
  <si>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</si>
  <si>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</si>
  <si>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</si>
  <si>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</si>
  <si>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</si>
  <si>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</si>
  <si>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</si>
  <si>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</si>
  <si>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</si>
  <si>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</si>
  <si>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</si>
  <si>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</si>
  <si>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</si>
  <si>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</si>
  <si>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</si>
  <si>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</si>
  <si>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</si>
  <si>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</si>
  <si>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</si>
  <si>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</si>
  <si>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</si>
  <si>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</si>
  <si>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</si>
  <si>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</si>
  <si>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</si>
  <si>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</si>
  <si>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</si>
  <si>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</si>
  <si>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</si>
  <si>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</si>
  <si>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</si>
  <si>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</si>
  <si>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</si>
  <si>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</si>
  <si>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</si>
  <si>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</si>
  <si>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</si>
  <si>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</si>
  <si>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</si>
  <si>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</si>
  <si>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</si>
  <si>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</si>
  <si>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</si>
  <si>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</si>
  <si>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</si>
  <si>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</si>
  <si>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</si>
  <si>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</si>
  <si>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</si>
  <si>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</si>
  <si>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</si>
  <si>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</si>
  <si>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</si>
  <si>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</si>
  <si>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</si>
  <si>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</si>
  <si>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</si>
  <si>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</si>
  <si>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</si>
  <si>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</si>
  <si>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</si>
  <si>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</si>
  <si>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</si>
  <si>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</si>
  <si>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</si>
  <si>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</si>
  <si>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</si>
  <si>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</si>
  <si>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</si>
  <si>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</si>
  <si>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</si>
  <si>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</si>
  <si>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</si>
  <si>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</si>
  <si>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</si>
  <si>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</si>
  <si>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</si>
  <si>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</si>
  <si>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</si>
  <si>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</si>
  <si>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</si>
  <si>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</si>
  <si>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</si>
  <si>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</si>
  <si>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</si>
  <si>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</si>
  <si>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</si>
  <si>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</si>
  <si>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</si>
  <si>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</si>
  <si>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</si>
  <si>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</si>
  <si>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</si>
  <si>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</si>
  <si>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</si>
  <si>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</si>
  <si>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</si>
  <si>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</si>
  <si>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</si>
  <si>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</si>
  <si>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</si>
  <si>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</si>
  <si>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</si>
  <si>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</si>
  <si>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</si>
  <si>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</si>
  <si>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</si>
  <si>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</si>
  <si>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</si>
  <si>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</si>
  <si>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</si>
  <si>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</si>
  <si>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</si>
  <si>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</si>
  <si>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</si>
  <si>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</si>
  <si>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</si>
  <si>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</si>
  <si>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</si>
  <si>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</si>
  <si>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</si>
  <si>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</si>
  <si>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</si>
  <si>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</si>
  <si>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</si>
  <si>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</si>
  <si>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</si>
  <si>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</si>
  <si>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</si>
  <si>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</si>
  <si>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</si>
  <si>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</si>
  <si>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</si>
  <si>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</si>
  <si>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</si>
  <si>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</si>
  <si>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</si>
  <si>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</si>
  <si>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</si>
  <si>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</si>
  <si>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</si>
  <si>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</si>
  <si>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</si>
  <si>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</si>
  <si>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</si>
  <si>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</si>
  <si>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</si>
  <si>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</si>
  <si>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</si>
  <si>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</si>
  <si>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</si>
  <si>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</si>
  <si>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</si>
  <si>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 xml:space="preserve">Osnova_I-Shop_0-10-24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</si>
</sst>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3</xdr:col>
      <xdr:colOff>981075</xdr:colOff>
      <xdr:row>3</xdr:row>
      <xdr:rowOff>104775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" y="28575"/>
          <a:ext cx="22860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186" t="s">
        <v>48</v>
      </c>
      <c r="I1" s="186"/>
    </row>
    <row r="2" spans="1:45" ht="12.75" customHeight="1" x14ac:dyDescent="0.2">
      <c r="A2" s="2"/>
      <c r="B2" s="88"/>
      <c r="C2" s="88"/>
      <c r="D2" s="88"/>
      <c r="E2" s="109">
        <f>VLOOKUP('I-Shop_0-10-24 '!H2,Лист2!A:P,16,FALSE)</f>
        <v>1000</v>
      </c>
      <c r="F2" s="132">
        <f>VLOOKUP(H$2,Лист2!$A:$H,8,0)</f>
        <v>99999.998999999996</v>
      </c>
      <c r="G2" s="177">
        <f ca="1">TODAY()</f>
        <v>45859</v>
      </c>
      <c r="H2" s="193" t="s">
        <v>160</v>
      </c>
      <c r="I2" s="194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99999.998999999996</v>
      </c>
      <c r="F3" s="195" t="str">
        <f>IF(E3="x","Збільшіть суму",IF(E3="y","Зменшіть суму",""))</f>
        <v/>
      </c>
      <c r="G3" s="133">
        <f>Назви!B32</f>
        <v>30.4</v>
      </c>
      <c r="H3" s="197">
        <v>90909.09</v>
      </c>
      <c r="I3" s="198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196"/>
      <c r="G4" s="112"/>
      <c r="H4" s="162"/>
      <c r="I4" s="120"/>
      <c r="J4" s="35"/>
      <c r="AA4" s="51"/>
    </row>
    <row r="5" spans="1:45" ht="21" thickBot="1" x14ac:dyDescent="0.25">
      <c r="A5" s="1"/>
      <c r="B5" s="199" t="s">
        <v>42</v>
      </c>
      <c r="C5" s="200"/>
      <c r="D5" s="200"/>
      <c r="E5" s="201"/>
      <c r="F5" s="161">
        <v>90909.09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0" t="s">
        <v>43</v>
      </c>
      <c r="C7" s="191"/>
      <c r="D7" s="191"/>
      <c r="E7" s="192"/>
      <c r="F7" s="163">
        <f>F5+F5*F11+F15+F5*F17</f>
        <v>99999.998999999996</v>
      </c>
      <c r="G7" s="164"/>
      <c r="H7" s="165"/>
      <c r="I7" s="42"/>
      <c r="J7" s="4"/>
      <c r="K7" s="37"/>
      <c r="L7" s="51" t="str">
        <f>Лист2!A4</f>
        <v xml:space="preserve">Osnova_I-Shop_0-10-24 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187"/>
      <c r="B8" s="187"/>
      <c r="C8" s="187"/>
      <c r="D8" s="187"/>
      <c r="E8" s="187"/>
      <c r="F8" s="188"/>
      <c r="G8" s="187"/>
      <c r="H8" s="187"/>
      <c r="I8" s="187"/>
      <c r="J8" s="4"/>
      <c r="K8" s="37"/>
      <c r="L8" s="51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2" t="str">
        <f>Назви!A3</f>
        <v>Процентна ставка, % річних</v>
      </c>
      <c r="C9" s="203">
        <f>Назви!B3</f>
        <v>0</v>
      </c>
      <c r="D9" s="203">
        <f>Назви!C3</f>
        <v>0</v>
      </c>
      <c r="E9" s="203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204" t="str">
        <f>Назви!A5</f>
        <v>Разовий страховий тариф, %</v>
      </c>
      <c r="C11" s="205">
        <f>Назви!B5</f>
        <v>0</v>
      </c>
      <c r="D11" s="205">
        <f>Назви!C5</f>
        <v>0</v>
      </c>
      <c r="E11" s="205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6" t="s">
        <v>41</v>
      </c>
      <c r="C13" s="206"/>
      <c r="D13" s="206"/>
      <c r="E13" s="204"/>
      <c r="F13" s="140">
        <f>VLOOKUP(H$2,Лист2!$A:$J,9,0)</f>
        <v>10</v>
      </c>
      <c r="G13" s="175"/>
      <c r="H13" s="173"/>
      <c r="I13" s="120"/>
      <c r="J13" s="4"/>
      <c r="K13" s="37"/>
      <c r="L13" s="51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51"/>
      <c r="K14" s="37"/>
      <c r="L14" s="51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206" t="s">
        <v>39</v>
      </c>
      <c r="C15" s="206"/>
      <c r="D15" s="206"/>
      <c r="E15" s="204"/>
      <c r="F15" s="156">
        <f>VLOOKUP(H$2,Лист2!$A:$J,10,0)</f>
        <v>0</v>
      </c>
      <c r="G15" s="175"/>
      <c r="H15" s="173"/>
      <c r="I15" s="120"/>
      <c r="J15" s="51"/>
      <c r="K15" s="37"/>
      <c r="L15" s="51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206" t="s">
        <v>40</v>
      </c>
      <c r="C17" s="206"/>
      <c r="D17" s="206"/>
      <c r="E17" s="206"/>
      <c r="F17" s="134">
        <f>VLOOKUP(H$2,Лист2!$A:$K,11,0)</f>
        <v>0.1</v>
      </c>
      <c r="G17" s="138"/>
      <c r="H17" s="139"/>
      <c r="I17" s="42"/>
      <c r="J17" s="51"/>
      <c r="K17" s="37"/>
      <c r="L17" s="51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4" t="str">
        <f>Назви!A7</f>
        <v xml:space="preserve">Щомісячна плата за обслуговування кредитної заборгованості, % </v>
      </c>
      <c r="C19" s="205">
        <f>Назви!B7</f>
        <v>0</v>
      </c>
      <c r="D19" s="205">
        <f>Назви!C7</f>
        <v>0</v>
      </c>
      <c r="E19" s="229">
        <f>Назви!D7</f>
        <v>0</v>
      </c>
      <c r="F19" s="134">
        <f>VLOOKUP(H$2,Лист2!$A:$G,6,0)</f>
        <v>5.9900000000000002E-2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204" t="str">
        <f>Назви!A9</f>
        <v>Термін кредитування (міс.)</v>
      </c>
      <c r="C21" s="205">
        <f>Назви!B9</f>
        <v>0</v>
      </c>
      <c r="D21" s="205">
        <f>Назви!C9</f>
        <v>0</v>
      </c>
      <c r="E21" s="229">
        <f>Назви!D9</f>
        <v>0</v>
      </c>
      <c r="F21" s="141">
        <f>VLOOKUP(H$2,Лист2!$A:$G,3,0)</f>
        <v>24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99999.998999999996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224" t="str">
        <f>Назви!A14</f>
        <v>Орієнтовні загальні витрати за кредитом, грн.</v>
      </c>
      <c r="C24" s="225"/>
      <c r="D24" s="225"/>
      <c r="E24" s="225"/>
      <c r="F24" s="160">
        <f>G100-E3</f>
        <v>83878.180979399956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224" t="str">
        <f>Назви!A16</f>
        <v>Орієнтовна загальна вартість кредиту, грн.</v>
      </c>
      <c r="C26" s="225">
        <f>Назви!B14</f>
        <v>0</v>
      </c>
      <c r="D26" s="225">
        <f>Назви!C14</f>
        <v>0</v>
      </c>
      <c r="E26" s="226">
        <f>Назви!D14</f>
        <v>0</v>
      </c>
      <c r="F26" s="144">
        <f>E3+F24</f>
        <v>183878.17997939995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224" t="str">
        <f>Назви!A18</f>
        <v>Реальна річна процентна ставка, %</v>
      </c>
      <c r="C28" s="225">
        <f>Назви!B16</f>
        <v>0</v>
      </c>
      <c r="D28" s="225">
        <f>Назви!C16</f>
        <v>0</v>
      </c>
      <c r="E28" s="226">
        <f>Назви!D16</f>
        <v>0</v>
      </c>
      <c r="F28" s="147">
        <f ca="1">XIRR(G39:G87,C39:C87)</f>
        <v>0.8496901631355287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227" t="str">
        <f>Назви!A19</f>
        <v>Інший термін</v>
      </c>
      <c r="C30" s="228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217" t="s">
        <v>32</v>
      </c>
      <c r="C31" s="218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217" t="s">
        <v>33</v>
      </c>
      <c r="C32" s="218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217" t="s">
        <v>9</v>
      </c>
      <c r="C33" s="218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217"/>
      <c r="C34" s="218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19" t="str">
        <f>Назви!A26</f>
        <v xml:space="preserve">ГРАФІК СПЛАТИ КРЕДИТУ </v>
      </c>
      <c r="C37" s="220"/>
      <c r="D37" s="220"/>
      <c r="E37" s="220"/>
      <c r="F37" s="220"/>
      <c r="G37" s="220"/>
      <c r="H37" s="22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22" t="str">
        <f>Назви!A27</f>
        <v>Місяць</v>
      </c>
      <c r="C38" s="22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2" t="str">
        <f>Назви!F27</f>
        <v>Загальна сума внесків до повернення в місяць, грн.</v>
      </c>
      <c r="H38" s="22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45859</v>
      </c>
      <c r="D39" s="91"/>
      <c r="E39" s="92"/>
      <c r="F39" s="91"/>
      <c r="G39" s="158">
        <f>-F5</f>
        <v>-90909.09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45890</v>
      </c>
      <c r="D40" s="19">
        <f>IF(B40&lt;=$F$21,$F$7/$F$21,0)</f>
        <v>4166.6666249999998</v>
      </c>
      <c r="E40" s="20">
        <f>IF(AND(B40&gt;F$13,B40&lt;=$F$21),F$7*F$19,0)</f>
        <v>0</v>
      </c>
      <c r="F40" s="182">
        <f>IF(B40&lt;=$F$21,F$5*F$9/12,0)</f>
        <v>0.75757574999999999</v>
      </c>
      <c r="G40" s="208">
        <f t="shared" ref="G40:G71" si="0">IF(B$40&lt;=F$21,D40+E40+F40,0)</f>
        <v>4167.4242007499997</v>
      </c>
      <c r="H40" s="20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45921</v>
      </c>
      <c r="D41" s="19">
        <f t="shared" ref="D41:D87" si="2">IF(B41&lt;=$F$21,$F$7/$F$21,0)</f>
        <v>4166.6666249999998</v>
      </c>
      <c r="E41" s="20">
        <f t="shared" ref="E41:E99" si="3">IF(AND(B41&gt;F$13,B41&lt;=$F$21),F$7*F$19,0)</f>
        <v>0</v>
      </c>
      <c r="F41" s="20">
        <f t="shared" ref="F41:F99" si="4">IF(B41&lt;=$F$21,F$5*F$9/12,0)</f>
        <v>0.75757574999999999</v>
      </c>
      <c r="G41" s="208">
        <f t="shared" si="0"/>
        <v>4167.4242007499997</v>
      </c>
      <c r="H41" s="20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45951</v>
      </c>
      <c r="D42" s="19">
        <f t="shared" si="2"/>
        <v>4166.6666249999998</v>
      </c>
      <c r="E42" s="20">
        <f t="shared" si="3"/>
        <v>0</v>
      </c>
      <c r="F42" s="20">
        <f t="shared" si="4"/>
        <v>0.75757574999999999</v>
      </c>
      <c r="G42" s="208">
        <f t="shared" si="0"/>
        <v>4167.4242007499997</v>
      </c>
      <c r="H42" s="20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45982</v>
      </c>
      <c r="D43" s="19">
        <f t="shared" si="2"/>
        <v>4166.6666249999998</v>
      </c>
      <c r="E43" s="20">
        <f t="shared" si="3"/>
        <v>0</v>
      </c>
      <c r="F43" s="20">
        <f t="shared" si="4"/>
        <v>0.75757574999999999</v>
      </c>
      <c r="G43" s="208">
        <f t="shared" si="0"/>
        <v>4167.4242007499997</v>
      </c>
      <c r="H43" s="20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46012</v>
      </c>
      <c r="D44" s="19">
        <f t="shared" si="2"/>
        <v>4166.6666249999998</v>
      </c>
      <c r="E44" s="20">
        <f t="shared" si="3"/>
        <v>0</v>
      </c>
      <c r="F44" s="20">
        <f t="shared" si="4"/>
        <v>0.75757574999999999</v>
      </c>
      <c r="G44" s="208">
        <f t="shared" si="0"/>
        <v>4167.4242007499997</v>
      </c>
      <c r="H44" s="20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46043</v>
      </c>
      <c r="D45" s="19">
        <f t="shared" si="2"/>
        <v>4166.6666249999998</v>
      </c>
      <c r="E45" s="20">
        <f t="shared" si="3"/>
        <v>0</v>
      </c>
      <c r="F45" s="20">
        <f t="shared" si="4"/>
        <v>0.75757574999999999</v>
      </c>
      <c r="G45" s="208">
        <f t="shared" si="0"/>
        <v>4167.4242007499997</v>
      </c>
      <c r="H45" s="20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46074</v>
      </c>
      <c r="D46" s="19">
        <f t="shared" si="2"/>
        <v>4166.6666249999998</v>
      </c>
      <c r="E46" s="20">
        <f t="shared" si="3"/>
        <v>0</v>
      </c>
      <c r="F46" s="20">
        <f t="shared" si="4"/>
        <v>0.75757574999999999</v>
      </c>
      <c r="G46" s="208">
        <f t="shared" si="0"/>
        <v>4167.4242007499997</v>
      </c>
      <c r="H46" s="20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46102</v>
      </c>
      <c r="D47" s="19">
        <f t="shared" si="2"/>
        <v>4166.6666249999998</v>
      </c>
      <c r="E47" s="20">
        <f t="shared" si="3"/>
        <v>0</v>
      </c>
      <c r="F47" s="20">
        <f t="shared" si="4"/>
        <v>0.75757574999999999</v>
      </c>
      <c r="G47" s="208">
        <f t="shared" si="0"/>
        <v>4167.4242007499997</v>
      </c>
      <c r="H47" s="20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46133</v>
      </c>
      <c r="D48" s="19">
        <f t="shared" si="2"/>
        <v>4166.6666249999998</v>
      </c>
      <c r="E48" s="20">
        <f t="shared" si="3"/>
        <v>0</v>
      </c>
      <c r="F48" s="20">
        <f t="shared" si="4"/>
        <v>0.75757574999999999</v>
      </c>
      <c r="G48" s="208">
        <f t="shared" si="0"/>
        <v>4167.4242007499997</v>
      </c>
      <c r="H48" s="20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46163</v>
      </c>
      <c r="D49" s="19">
        <f t="shared" si="2"/>
        <v>4166.6666249999998</v>
      </c>
      <c r="E49" s="20">
        <f t="shared" si="3"/>
        <v>0</v>
      </c>
      <c r="F49" s="20">
        <f t="shared" si="4"/>
        <v>0.75757574999999999</v>
      </c>
      <c r="G49" s="208">
        <f t="shared" si="0"/>
        <v>4167.4242007499997</v>
      </c>
      <c r="H49" s="20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46194</v>
      </c>
      <c r="D50" s="19">
        <f t="shared" si="2"/>
        <v>4166.6666249999998</v>
      </c>
      <c r="E50" s="20">
        <f t="shared" si="3"/>
        <v>5989.9999400999995</v>
      </c>
      <c r="F50" s="20">
        <f t="shared" si="4"/>
        <v>0.75757574999999999</v>
      </c>
      <c r="G50" s="208">
        <f t="shared" si="0"/>
        <v>10157.42414085</v>
      </c>
      <c r="H50" s="20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46224</v>
      </c>
      <c r="D51" s="19">
        <f t="shared" si="2"/>
        <v>4166.6666249999998</v>
      </c>
      <c r="E51" s="20">
        <f t="shared" si="3"/>
        <v>5989.9999400999995</v>
      </c>
      <c r="F51" s="20">
        <f t="shared" si="4"/>
        <v>0.75757574999999999</v>
      </c>
      <c r="G51" s="208">
        <f t="shared" si="0"/>
        <v>10157.42414085</v>
      </c>
      <c r="H51" s="20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46255</v>
      </c>
      <c r="D52" s="19">
        <f t="shared" si="2"/>
        <v>4166.6666249999998</v>
      </c>
      <c r="E52" s="20">
        <f t="shared" si="3"/>
        <v>5989.9999400999995</v>
      </c>
      <c r="F52" s="20">
        <f t="shared" si="4"/>
        <v>0.75757574999999999</v>
      </c>
      <c r="G52" s="208">
        <f t="shared" si="0"/>
        <v>10157.42414085</v>
      </c>
      <c r="H52" s="20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46286</v>
      </c>
      <c r="D53" s="19">
        <f t="shared" si="2"/>
        <v>4166.6666249999998</v>
      </c>
      <c r="E53" s="20">
        <f t="shared" si="3"/>
        <v>5989.9999400999995</v>
      </c>
      <c r="F53" s="20">
        <f t="shared" si="4"/>
        <v>0.75757574999999999</v>
      </c>
      <c r="G53" s="208">
        <f t="shared" si="0"/>
        <v>10157.42414085</v>
      </c>
      <c r="H53" s="20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46316</v>
      </c>
      <c r="D54" s="19">
        <f t="shared" si="2"/>
        <v>4166.6666249999998</v>
      </c>
      <c r="E54" s="20">
        <f t="shared" si="3"/>
        <v>5989.9999400999995</v>
      </c>
      <c r="F54" s="20">
        <f t="shared" si="4"/>
        <v>0.75757574999999999</v>
      </c>
      <c r="G54" s="208">
        <f t="shared" si="0"/>
        <v>10157.42414085</v>
      </c>
      <c r="H54" s="20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46347</v>
      </c>
      <c r="D55" s="19">
        <f t="shared" si="2"/>
        <v>4166.6666249999998</v>
      </c>
      <c r="E55" s="20">
        <f t="shared" si="3"/>
        <v>5989.9999400999995</v>
      </c>
      <c r="F55" s="20">
        <f t="shared" si="4"/>
        <v>0.75757574999999999</v>
      </c>
      <c r="G55" s="208">
        <f t="shared" si="0"/>
        <v>10157.42414085</v>
      </c>
      <c r="H55" s="20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46377</v>
      </c>
      <c r="D56" s="19">
        <f t="shared" si="2"/>
        <v>4166.6666249999998</v>
      </c>
      <c r="E56" s="20">
        <f t="shared" si="3"/>
        <v>5989.9999400999995</v>
      </c>
      <c r="F56" s="20">
        <f t="shared" si="4"/>
        <v>0.75757574999999999</v>
      </c>
      <c r="G56" s="208">
        <f t="shared" si="0"/>
        <v>10157.42414085</v>
      </c>
      <c r="H56" s="20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46408</v>
      </c>
      <c r="D57" s="19">
        <f t="shared" si="2"/>
        <v>4166.6666249999998</v>
      </c>
      <c r="E57" s="20">
        <f t="shared" si="3"/>
        <v>5989.9999400999995</v>
      </c>
      <c r="F57" s="20">
        <f t="shared" si="4"/>
        <v>0.75757574999999999</v>
      </c>
      <c r="G57" s="208">
        <f t="shared" si="0"/>
        <v>10157.42414085</v>
      </c>
      <c r="H57" s="20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46439</v>
      </c>
      <c r="D58" s="19">
        <f t="shared" si="2"/>
        <v>4166.6666249999998</v>
      </c>
      <c r="E58" s="20">
        <f t="shared" si="3"/>
        <v>5989.9999400999995</v>
      </c>
      <c r="F58" s="20">
        <f t="shared" si="4"/>
        <v>0.75757574999999999</v>
      </c>
      <c r="G58" s="208">
        <f t="shared" si="0"/>
        <v>10157.42414085</v>
      </c>
      <c r="H58" s="20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46467</v>
      </c>
      <c r="D59" s="19">
        <f t="shared" si="2"/>
        <v>4166.6666249999998</v>
      </c>
      <c r="E59" s="20">
        <f t="shared" si="3"/>
        <v>5989.9999400999995</v>
      </c>
      <c r="F59" s="20">
        <f t="shared" si="4"/>
        <v>0.75757574999999999</v>
      </c>
      <c r="G59" s="208">
        <f t="shared" si="0"/>
        <v>10157.42414085</v>
      </c>
      <c r="H59" s="20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46498</v>
      </c>
      <c r="D60" s="19">
        <f t="shared" si="2"/>
        <v>4166.6666249999998</v>
      </c>
      <c r="E60" s="20">
        <f t="shared" si="3"/>
        <v>5989.9999400999995</v>
      </c>
      <c r="F60" s="20">
        <f t="shared" si="4"/>
        <v>0.75757574999999999</v>
      </c>
      <c r="G60" s="208">
        <f t="shared" si="0"/>
        <v>10157.42414085</v>
      </c>
      <c r="H60" s="20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46528</v>
      </c>
      <c r="D61" s="19">
        <f t="shared" si="2"/>
        <v>4166.6666249999998</v>
      </c>
      <c r="E61" s="20">
        <f t="shared" si="3"/>
        <v>5989.9999400999995</v>
      </c>
      <c r="F61" s="20">
        <f t="shared" si="4"/>
        <v>0.75757574999999999</v>
      </c>
      <c r="G61" s="208">
        <f t="shared" si="0"/>
        <v>10157.42414085</v>
      </c>
      <c r="H61" s="20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46559</v>
      </c>
      <c r="D62" s="19">
        <f t="shared" si="2"/>
        <v>4166.6666249999998</v>
      </c>
      <c r="E62" s="20">
        <f t="shared" si="3"/>
        <v>5989.9999400999995</v>
      </c>
      <c r="F62" s="20">
        <f t="shared" si="4"/>
        <v>0.75757574999999999</v>
      </c>
      <c r="G62" s="208">
        <f t="shared" si="0"/>
        <v>10157.42414085</v>
      </c>
      <c r="H62" s="20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46589</v>
      </c>
      <c r="D63" s="19">
        <f t="shared" si="2"/>
        <v>4166.6666249999998</v>
      </c>
      <c r="E63" s="20">
        <f t="shared" si="3"/>
        <v>5989.9999400999995</v>
      </c>
      <c r="F63" s="20">
        <f t="shared" si="4"/>
        <v>0.75757574999999999</v>
      </c>
      <c r="G63" s="208">
        <f t="shared" si="0"/>
        <v>10157.42414085</v>
      </c>
      <c r="H63" s="20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46620</v>
      </c>
      <c r="D64" s="19">
        <f t="shared" si="2"/>
        <v>0</v>
      </c>
      <c r="E64" s="20">
        <f t="shared" si="3"/>
        <v>0</v>
      </c>
      <c r="F64" s="20">
        <f t="shared" si="4"/>
        <v>0</v>
      </c>
      <c r="G64" s="208">
        <f t="shared" si="0"/>
        <v>0</v>
      </c>
      <c r="H64" s="20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46651</v>
      </c>
      <c r="D65" s="19">
        <f t="shared" si="2"/>
        <v>0</v>
      </c>
      <c r="E65" s="20">
        <f t="shared" si="3"/>
        <v>0</v>
      </c>
      <c r="F65" s="20">
        <f t="shared" si="4"/>
        <v>0</v>
      </c>
      <c r="G65" s="208">
        <f t="shared" si="0"/>
        <v>0</v>
      </c>
      <c r="H65" s="20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46681</v>
      </c>
      <c r="D66" s="19">
        <f t="shared" si="2"/>
        <v>0</v>
      </c>
      <c r="E66" s="20">
        <f t="shared" si="3"/>
        <v>0</v>
      </c>
      <c r="F66" s="20">
        <f t="shared" si="4"/>
        <v>0</v>
      </c>
      <c r="G66" s="208">
        <f t="shared" si="0"/>
        <v>0</v>
      </c>
      <c r="H66" s="20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46712</v>
      </c>
      <c r="D67" s="19">
        <f t="shared" si="2"/>
        <v>0</v>
      </c>
      <c r="E67" s="20">
        <f t="shared" si="3"/>
        <v>0</v>
      </c>
      <c r="F67" s="20">
        <f t="shared" si="4"/>
        <v>0</v>
      </c>
      <c r="G67" s="208">
        <f t="shared" si="0"/>
        <v>0</v>
      </c>
      <c r="H67" s="20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46742</v>
      </c>
      <c r="D68" s="19">
        <f t="shared" si="2"/>
        <v>0</v>
      </c>
      <c r="E68" s="20">
        <f t="shared" si="3"/>
        <v>0</v>
      </c>
      <c r="F68" s="20">
        <f t="shared" si="4"/>
        <v>0</v>
      </c>
      <c r="G68" s="208">
        <f t="shared" si="0"/>
        <v>0</v>
      </c>
      <c r="H68" s="20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46773</v>
      </c>
      <c r="D69" s="19">
        <f t="shared" si="2"/>
        <v>0</v>
      </c>
      <c r="E69" s="20">
        <f t="shared" si="3"/>
        <v>0</v>
      </c>
      <c r="F69" s="20">
        <f t="shared" si="4"/>
        <v>0</v>
      </c>
      <c r="G69" s="208">
        <f t="shared" si="0"/>
        <v>0</v>
      </c>
      <c r="H69" s="20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46804</v>
      </c>
      <c r="D70" s="19">
        <f t="shared" si="2"/>
        <v>0</v>
      </c>
      <c r="E70" s="20">
        <f t="shared" si="3"/>
        <v>0</v>
      </c>
      <c r="F70" s="20">
        <f t="shared" si="4"/>
        <v>0</v>
      </c>
      <c r="G70" s="208">
        <f t="shared" si="0"/>
        <v>0</v>
      </c>
      <c r="H70" s="20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46833</v>
      </c>
      <c r="D71" s="19">
        <f t="shared" si="2"/>
        <v>0</v>
      </c>
      <c r="E71" s="20">
        <f t="shared" si="3"/>
        <v>0</v>
      </c>
      <c r="F71" s="20">
        <f t="shared" si="4"/>
        <v>0</v>
      </c>
      <c r="G71" s="208">
        <f t="shared" si="0"/>
        <v>0</v>
      </c>
      <c r="H71" s="20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46864</v>
      </c>
      <c r="D72" s="19">
        <f t="shared" si="2"/>
        <v>0</v>
      </c>
      <c r="E72" s="20">
        <f t="shared" si="3"/>
        <v>0</v>
      </c>
      <c r="F72" s="20">
        <f t="shared" si="4"/>
        <v>0</v>
      </c>
      <c r="G72" s="208">
        <f t="shared" ref="G72:G99" si="5">IF(B$40&lt;=F$21,D72+E72+F72,0)</f>
        <v>0</v>
      </c>
      <c r="H72" s="20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46894</v>
      </c>
      <c r="D73" s="19">
        <f t="shared" si="2"/>
        <v>0</v>
      </c>
      <c r="E73" s="20">
        <f t="shared" si="3"/>
        <v>0</v>
      </c>
      <c r="F73" s="20">
        <f t="shared" si="4"/>
        <v>0</v>
      </c>
      <c r="G73" s="208">
        <f t="shared" si="5"/>
        <v>0</v>
      </c>
      <c r="H73" s="20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46925</v>
      </c>
      <c r="D74" s="19">
        <f t="shared" si="2"/>
        <v>0</v>
      </c>
      <c r="E74" s="20">
        <f t="shared" si="3"/>
        <v>0</v>
      </c>
      <c r="F74" s="20">
        <f t="shared" si="4"/>
        <v>0</v>
      </c>
      <c r="G74" s="208">
        <f t="shared" si="5"/>
        <v>0</v>
      </c>
      <c r="H74" s="20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46955</v>
      </c>
      <c r="D75" s="19">
        <f t="shared" si="2"/>
        <v>0</v>
      </c>
      <c r="E75" s="20">
        <f t="shared" si="3"/>
        <v>0</v>
      </c>
      <c r="F75" s="20">
        <f t="shared" si="4"/>
        <v>0</v>
      </c>
      <c r="G75" s="208">
        <f t="shared" si="5"/>
        <v>0</v>
      </c>
      <c r="H75" s="20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46986</v>
      </c>
      <c r="D76" s="19">
        <f t="shared" si="2"/>
        <v>0</v>
      </c>
      <c r="E76" s="20">
        <f t="shared" si="3"/>
        <v>0</v>
      </c>
      <c r="F76" s="20">
        <f t="shared" si="4"/>
        <v>0</v>
      </c>
      <c r="G76" s="208">
        <f t="shared" si="5"/>
        <v>0</v>
      </c>
      <c r="H76" s="20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47017</v>
      </c>
      <c r="D77" s="19">
        <f t="shared" si="2"/>
        <v>0</v>
      </c>
      <c r="E77" s="20">
        <f t="shared" si="3"/>
        <v>0</v>
      </c>
      <c r="F77" s="20">
        <f t="shared" si="4"/>
        <v>0</v>
      </c>
      <c r="G77" s="208">
        <f t="shared" si="5"/>
        <v>0</v>
      </c>
      <c r="H77" s="20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47047</v>
      </c>
      <c r="D78" s="19">
        <f t="shared" si="2"/>
        <v>0</v>
      </c>
      <c r="E78" s="20">
        <f t="shared" si="3"/>
        <v>0</v>
      </c>
      <c r="F78" s="20">
        <f t="shared" si="4"/>
        <v>0</v>
      </c>
      <c r="G78" s="208">
        <f t="shared" si="5"/>
        <v>0</v>
      </c>
      <c r="H78" s="20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47078</v>
      </c>
      <c r="D79" s="19">
        <f t="shared" si="2"/>
        <v>0</v>
      </c>
      <c r="E79" s="20">
        <f t="shared" si="3"/>
        <v>0</v>
      </c>
      <c r="F79" s="20">
        <f t="shared" si="4"/>
        <v>0</v>
      </c>
      <c r="G79" s="208">
        <f t="shared" si="5"/>
        <v>0</v>
      </c>
      <c r="H79" s="20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47108</v>
      </c>
      <c r="D80" s="19">
        <f t="shared" si="2"/>
        <v>0</v>
      </c>
      <c r="E80" s="20">
        <f t="shared" si="3"/>
        <v>0</v>
      </c>
      <c r="F80" s="20">
        <f t="shared" si="4"/>
        <v>0</v>
      </c>
      <c r="G80" s="208">
        <f t="shared" si="5"/>
        <v>0</v>
      </c>
      <c r="H80" s="20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47139</v>
      </c>
      <c r="D81" s="19">
        <f t="shared" si="2"/>
        <v>0</v>
      </c>
      <c r="E81" s="20">
        <f t="shared" si="3"/>
        <v>0</v>
      </c>
      <c r="F81" s="20">
        <f t="shared" si="4"/>
        <v>0</v>
      </c>
      <c r="G81" s="208">
        <f t="shared" si="5"/>
        <v>0</v>
      </c>
      <c r="H81" s="20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47170</v>
      </c>
      <c r="D82" s="19">
        <f t="shared" si="2"/>
        <v>0</v>
      </c>
      <c r="E82" s="20">
        <f t="shared" si="3"/>
        <v>0</v>
      </c>
      <c r="F82" s="20">
        <f t="shared" si="4"/>
        <v>0</v>
      </c>
      <c r="G82" s="208">
        <f t="shared" si="5"/>
        <v>0</v>
      </c>
      <c r="H82" s="20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47198</v>
      </c>
      <c r="D83" s="19">
        <f t="shared" si="2"/>
        <v>0</v>
      </c>
      <c r="E83" s="20">
        <f t="shared" si="3"/>
        <v>0</v>
      </c>
      <c r="F83" s="20">
        <f t="shared" si="4"/>
        <v>0</v>
      </c>
      <c r="G83" s="208">
        <f t="shared" si="5"/>
        <v>0</v>
      </c>
      <c r="H83" s="20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47229</v>
      </c>
      <c r="D84" s="19">
        <f t="shared" si="2"/>
        <v>0</v>
      </c>
      <c r="E84" s="20">
        <f t="shared" si="3"/>
        <v>0</v>
      </c>
      <c r="F84" s="20">
        <f t="shared" si="4"/>
        <v>0</v>
      </c>
      <c r="G84" s="208">
        <f t="shared" si="5"/>
        <v>0</v>
      </c>
      <c r="H84" s="20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47259</v>
      </c>
      <c r="D85" s="19">
        <f t="shared" si="2"/>
        <v>0</v>
      </c>
      <c r="E85" s="20">
        <f t="shared" si="3"/>
        <v>0</v>
      </c>
      <c r="F85" s="20">
        <f t="shared" si="4"/>
        <v>0</v>
      </c>
      <c r="G85" s="208">
        <f t="shared" si="5"/>
        <v>0</v>
      </c>
      <c r="H85" s="20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47290</v>
      </c>
      <c r="D86" s="19">
        <f t="shared" si="2"/>
        <v>0</v>
      </c>
      <c r="E86" s="20">
        <f t="shared" si="3"/>
        <v>0</v>
      </c>
      <c r="F86" s="20">
        <f t="shared" si="4"/>
        <v>0</v>
      </c>
      <c r="G86" s="208">
        <f t="shared" si="5"/>
        <v>0</v>
      </c>
      <c r="H86" s="20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47320</v>
      </c>
      <c r="D87" s="19">
        <f t="shared" si="2"/>
        <v>0</v>
      </c>
      <c r="E87" s="20">
        <f t="shared" si="3"/>
        <v>0</v>
      </c>
      <c r="F87" s="20">
        <f t="shared" si="4"/>
        <v>0</v>
      </c>
      <c r="G87" s="208">
        <f t="shared" si="5"/>
        <v>0</v>
      </c>
      <c r="H87" s="20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47351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1">
        <f t="shared" si="4"/>
        <v>0</v>
      </c>
      <c r="G88" s="215">
        <f t="shared" si="5"/>
        <v>0</v>
      </c>
      <c r="H88" s="216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47382</v>
      </c>
      <c r="D89" s="107">
        <f t="shared" si="6"/>
        <v>0</v>
      </c>
      <c r="E89" s="108">
        <f t="shared" si="3"/>
        <v>0</v>
      </c>
      <c r="F89" s="108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47412</v>
      </c>
      <c r="D90" s="107">
        <f t="shared" si="6"/>
        <v>0</v>
      </c>
      <c r="E90" s="108">
        <f t="shared" si="3"/>
        <v>0</v>
      </c>
      <c r="F90" s="108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47443</v>
      </c>
      <c r="D91" s="107">
        <f t="shared" si="6"/>
        <v>0</v>
      </c>
      <c r="E91" s="108">
        <f t="shared" si="3"/>
        <v>0</v>
      </c>
      <c r="F91" s="108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47473</v>
      </c>
      <c r="D92" s="107">
        <f t="shared" si="6"/>
        <v>0</v>
      </c>
      <c r="E92" s="108">
        <f t="shared" si="3"/>
        <v>0</v>
      </c>
      <c r="F92" s="108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47504</v>
      </c>
      <c r="D93" s="107">
        <f t="shared" si="6"/>
        <v>0</v>
      </c>
      <c r="E93" s="108">
        <f t="shared" si="3"/>
        <v>0</v>
      </c>
      <c r="F93" s="108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47535</v>
      </c>
      <c r="D94" s="107">
        <f t="shared" si="6"/>
        <v>0</v>
      </c>
      <c r="E94" s="108">
        <f t="shared" si="3"/>
        <v>0</v>
      </c>
      <c r="F94" s="108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47563</v>
      </c>
      <c r="D95" s="107">
        <f t="shared" si="6"/>
        <v>0</v>
      </c>
      <c r="E95" s="108">
        <f t="shared" si="3"/>
        <v>0</v>
      </c>
      <c r="F95" s="108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47594</v>
      </c>
      <c r="D96" s="107">
        <f t="shared" si="6"/>
        <v>0</v>
      </c>
      <c r="E96" s="108">
        <f t="shared" si="3"/>
        <v>0</v>
      </c>
      <c r="F96" s="108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47624</v>
      </c>
      <c r="D97" s="107">
        <f t="shared" si="6"/>
        <v>0</v>
      </c>
      <c r="E97" s="108">
        <f t="shared" si="3"/>
        <v>0</v>
      </c>
      <c r="F97" s="108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47655</v>
      </c>
      <c r="D98" s="107">
        <f t="shared" si="6"/>
        <v>0</v>
      </c>
      <c r="E98" s="108">
        <f t="shared" si="3"/>
        <v>0</v>
      </c>
      <c r="F98" s="108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47685</v>
      </c>
      <c r="D99" s="107">
        <f t="shared" si="6"/>
        <v>0</v>
      </c>
      <c r="E99" s="108">
        <f t="shared" si="3"/>
        <v>0</v>
      </c>
      <c r="F99" s="108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5" thickBot="1" x14ac:dyDescent="0.25">
      <c r="A100" s="43"/>
      <c r="B100" s="213" t="s">
        <v>1</v>
      </c>
      <c r="C100" s="214"/>
      <c r="D100" s="93">
        <f>SUM(D40:D99)</f>
        <v>99999.998999999967</v>
      </c>
      <c r="E100" s="93">
        <f>SUM(E40:E99)</f>
        <v>83859.999161399988</v>
      </c>
      <c r="F100" s="99">
        <f>SUM(F40:F99)</f>
        <v>18.18181800000001</v>
      </c>
      <c r="G100" s="211">
        <f>SUM(G40:H99)</f>
        <v>183878.17997939995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7" t="s">
        <v>6</v>
      </c>
      <c r="F102" s="207"/>
      <c r="G102" s="207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hdEALiZ1eWZSA5JubKd8yE8AfNhD3OkbkvWGgtI5siSohF0S+SlTq4olfRu+T3wOI6a8JIJ/thArZtUyaySGpQ==" saltValue="ekab7AYDMaflltN7P0dl+A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2"/>
  <dimension ref="B2:K55"/>
  <sheetViews>
    <sheetView topLeftCell="A25"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D32" sqref="D32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6" t="s">
        <v>16</v>
      </c>
      <c r="B1" s="257"/>
      <c r="C1" s="257"/>
      <c r="D1" s="25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51" t="s">
        <v>44</v>
      </c>
      <c r="B3" s="252">
        <v>0</v>
      </c>
      <c r="C3" s="252">
        <v>0</v>
      </c>
      <c r="D3" s="25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51" t="s">
        <v>45</v>
      </c>
      <c r="B5" s="252">
        <v>0</v>
      </c>
      <c r="C5" s="252">
        <v>0</v>
      </c>
      <c r="D5" s="25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51" t="s">
        <v>46</v>
      </c>
      <c r="B7" s="252">
        <v>0</v>
      </c>
      <c r="C7" s="252">
        <v>0</v>
      </c>
      <c r="D7" s="25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51" t="s">
        <v>158</v>
      </c>
      <c r="B9" s="252"/>
      <c r="C9" s="252"/>
      <c r="D9" s="25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51" t="s">
        <v>157</v>
      </c>
      <c r="B12" s="252">
        <v>0</v>
      </c>
      <c r="C12" s="252">
        <v>0</v>
      </c>
      <c r="D12" s="25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51" t="s">
        <v>47</v>
      </c>
      <c r="B14" s="252">
        <v>0</v>
      </c>
      <c r="C14" s="252">
        <v>0</v>
      </c>
      <c r="D14" s="25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51" t="s">
        <v>156</v>
      </c>
      <c r="B16" s="252">
        <v>0</v>
      </c>
      <c r="C16" s="252">
        <v>0</v>
      </c>
      <c r="D16" s="25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54" t="s">
        <v>8</v>
      </c>
      <c r="B19" s="25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1" t="s">
        <v>20</v>
      </c>
      <c r="B20" s="242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1" t="s">
        <v>9</v>
      </c>
      <c r="B21" s="242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1" t="s">
        <v>18</v>
      </c>
      <c r="B22" s="242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1" t="s">
        <v>19</v>
      </c>
      <c r="B23" s="242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44" t="s">
        <v>30</v>
      </c>
      <c r="B26" s="245"/>
      <c r="C26" s="245"/>
      <c r="D26" s="245"/>
      <c r="E26" s="245"/>
      <c r="F26" s="245"/>
      <c r="G26" s="246"/>
    </row>
    <row r="27" spans="1:8" ht="45.75" thickBot="1" x14ac:dyDescent="0.25">
      <c r="A27" s="247" t="s">
        <v>2</v>
      </c>
      <c r="B27" s="248"/>
      <c r="C27" s="83" t="s">
        <v>4</v>
      </c>
      <c r="D27" s="83" t="s">
        <v>17</v>
      </c>
      <c r="E27" s="83" t="s">
        <v>5</v>
      </c>
      <c r="F27" s="249" t="s">
        <v>3</v>
      </c>
      <c r="G27" s="250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3"/>
      <c r="E29" s="243"/>
      <c r="F29" s="243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3"/>
  <dimension ref="A1:P4"/>
  <sheetViews>
    <sheetView zoomScale="85" zoomScaleNormal="85" workbookViewId="0">
      <selection activeCell="C22" sqref="C22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90909.09</v>
      </c>
      <c r="C4" s="151">
        <v>24</v>
      </c>
      <c r="D4" s="152">
        <v>1E-4</v>
      </c>
      <c r="E4" s="152">
        <v>0</v>
      </c>
      <c r="F4" s="152">
        <v>5.9900000000000002E-2</v>
      </c>
      <c r="G4" s="151" t="str">
        <f>I$2&amp;" "&amp;B4&amp;" "&amp;H$2</f>
        <v>max. 90909,09 грн.</v>
      </c>
      <c r="H4" s="184">
        <f>B4+B4*K4</f>
        <v>99999.998999999996</v>
      </c>
      <c r="I4" s="151">
        <v>10</v>
      </c>
      <c r="K4" s="185">
        <v>0.1</v>
      </c>
      <c r="L4" s="153">
        <f t="shared" ref="L4" si="0">D4/12/(1-1/POWER(1+D4/12,C4))*H4+H4*F4</f>
        <v>10157.100606716089</v>
      </c>
      <c r="M4" s="154">
        <f>F4</f>
        <v>5.9900000000000002E-2</v>
      </c>
      <c r="N4" s="154"/>
      <c r="O4" s="155">
        <v>0</v>
      </c>
      <c r="P4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I-Shop_0-10-24 </vt:lpstr>
      <vt:lpstr>Перелік партнерів</vt:lpstr>
      <vt:lpstr>Назви</vt:lpstr>
      <vt:lpstr>Лист2</vt:lpstr>
      <vt:lpstr>'I-Shop_0-10-24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2025-07-21T12:16:16Z</dcterms:modified>
</cp:coreProperties>
</file>