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I-Shop_Satellite\"/>
    </mc:Choice>
  </mc:AlternateContent>
  <xr:revisionPtr revIDLastSave="0" documentId="13_ncr:1_{2B1BEAD5-41D7-40CE-A228-DC85E5C55A6E}" xr6:coauthVersionLast="47" xr6:coauthVersionMax="47" xr10:uidLastSave="{00000000-0000-0000-0000-000000000000}"/>
  <workbookProtection workbookAlgorithmName="SHA-512" workbookHashValue="l3z9vz4V6wfKdAd5hyydYLH3QlonD/j+gEpHEMuAjXZB0JyX8Jg0MKBkWWjkmu9B3uU8rGSTxTWfgCpA6j0WyA==" workbookSaltValue="hmYlbwm/RaCILLjaLXMq5g==" workbookSpinCount="100000" lockStructure="1"/>
  <bookViews>
    <workbookView xWindow="-120" yWindow="-120" windowWidth="29040" windowHeight="15990" tabRatio="863" xr2:uid="{00000000-000D-0000-FFFF-FFFF00000000}"/>
  </bookViews>
  <sheets>
    <sheet name="I-Shop_Час_Газу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'I-Shop_Час_Газу'!$A$1:$I$103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H5" i="165"/>
  <c r="H4" i="165"/>
  <c r="H3" i="164" l="1"/>
  <c r="E2" i="164"/>
  <c r="G2" i="164"/>
  <c r="G3" i="164"/>
  <c r="F2" i="164" l="1"/>
  <c r="G39" i="164"/>
  <c r="L8" i="164" l="1"/>
  <c r="M5" i="165"/>
  <c r="L5" i="165"/>
  <c r="G5" i="165"/>
  <c r="G4" i="165" l="1"/>
  <c r="B28" i="164" l="1"/>
  <c r="B26" i="164"/>
  <c r="B24" i="164"/>
  <c r="B11" i="164"/>
  <c r="F17" i="164" l="1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2" i="161"/>
  <c r="F20" i="161"/>
  <c r="F55" i="164" l="1"/>
  <c r="F59" i="164"/>
  <c r="F63" i="164"/>
  <c r="F67" i="164"/>
  <c r="F71" i="164"/>
  <c r="F75" i="164"/>
  <c r="F79" i="164"/>
  <c r="F83" i="164"/>
  <c r="F87" i="164"/>
  <c r="F91" i="164"/>
  <c r="F95" i="164"/>
  <c r="F99" i="164"/>
  <c r="F53" i="164"/>
  <c r="F61" i="164"/>
  <c r="F69" i="164"/>
  <c r="F77" i="164"/>
  <c r="F85" i="164"/>
  <c r="F89" i="164"/>
  <c r="F97" i="164"/>
  <c r="F54" i="164"/>
  <c r="F58" i="164"/>
  <c r="F66" i="164"/>
  <c r="F74" i="164"/>
  <c r="F82" i="164"/>
  <c r="F90" i="164"/>
  <c r="F98" i="164"/>
  <c r="F52" i="164"/>
  <c r="F56" i="164"/>
  <c r="F60" i="164"/>
  <c r="F64" i="164"/>
  <c r="F68" i="164"/>
  <c r="F72" i="164"/>
  <c r="F76" i="164"/>
  <c r="F80" i="164"/>
  <c r="F84" i="164"/>
  <c r="F88" i="164"/>
  <c r="F92" i="164"/>
  <c r="F96" i="164"/>
  <c r="F57" i="164"/>
  <c r="F65" i="164"/>
  <c r="F73" i="164"/>
  <c r="F81" i="164"/>
  <c r="F93" i="164"/>
  <c r="F62" i="164"/>
  <c r="F70" i="164"/>
  <c r="F78" i="164"/>
  <c r="F86" i="164"/>
  <c r="F94" i="164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F43" i="164" s="1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1" i="164"/>
  <c r="E76" i="164"/>
  <c r="E93" i="164"/>
  <c r="E75" i="164"/>
  <c r="E89" i="164"/>
  <c r="E92" i="164"/>
  <c r="E84" i="164"/>
  <c r="E64" i="164"/>
  <c r="F49" i="164" l="1"/>
  <c r="F44" i="164"/>
  <c r="F46" i="164"/>
  <c r="F41" i="164"/>
  <c r="F50" i="164"/>
  <c r="F45" i="164"/>
  <c r="F51" i="164"/>
  <c r="F42" i="164"/>
  <c r="F40" i="164"/>
  <c r="F47" i="164"/>
  <c r="F48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G75" i="164" s="1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G64" i="164" s="1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G59" i="164" s="1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 l="1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<sst xmlns="http://schemas.openxmlformats.org/spreadsheetml/2006/main" count="170" uniqueCount="162">
  <si>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</si>
  <si>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</si>
  <si>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</si>
  <si>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</si>
  <si>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</si>
  <si>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</si>
  <si>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</si>
  <si>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</si>
  <si>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</si>
  <si>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</si>
  <si>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</si>
  <si>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</si>
  <si>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</si>
  <si>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</si>
  <si>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</si>
  <si>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</si>
  <si>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</si>
  <si>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</si>
  <si>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</si>
  <si>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</si>
  <si>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</si>
  <si>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</si>
  <si>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</si>
  <si>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</si>
  <si>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</si>
  <si>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</si>
  <si>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</si>
  <si>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</si>
  <si>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</si>
  <si>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</si>
  <si>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</si>
  <si>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</si>
  <si>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</si>
  <si>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</si>
  <si>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</si>
  <si>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</si>
  <si>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</si>
  <si>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</si>
  <si>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</si>
  <si>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</si>
  <si>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</si>
  <si>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</si>
  <si>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</si>
  <si>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</si>
  <si>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</si>
  <si>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</si>
  <si>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</si>
  <si>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</si>
  <si>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</si>
  <si>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</si>
  <si>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</si>
  <si>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</si>
  <si>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</si>
  <si>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</si>
  <si>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</si>
  <si>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</si>
  <si>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</si>
  <si>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</si>
  <si>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</si>
  <si>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</si>
  <si>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</si>
  <si>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</si>
  <si>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</si>
  <si>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</si>
  <si>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</si>
  <si>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</si>
  <si>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</si>
  <si>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</si>
  <si>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</si>
  <si>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</si>
  <si>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</si>
  <si>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</si>
  <si>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</si>
  <si>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</si>
  <si>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</si>
  <si>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</si>
  <si>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</si>
  <si>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</si>
  <si>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</si>
  <si>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</si>
  <si>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</si>
  <si>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</si>
  <si>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</si>
  <si>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</si>
  <si>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</si>
  <si>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</si>
  <si>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</si>
  <si>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</si>
  <si>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</si>
  <si>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</si>
  <si>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</si>
  <si>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</si>
  <si>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</si>
  <si>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</si>
  <si>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</si>
  <si>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</si>
  <si>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</si>
  <si>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</si>
  <si>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</si>
  <si>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</si>
  <si>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</si>
  <si>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</si>
  <si>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</si>
  <si>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</si>
  <si>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</si>
  <si>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</si>
  <si>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</si>
  <si>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</si>
  <si>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</si>
  <si>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</si>
  <si>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</si>
  <si>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</si>
  <si>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</si>
  <si>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</si>
  <si>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</si>
  <si>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</si>
  <si>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</si>
  <si>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</si>
  <si>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</si>
  <si>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</si>
  <si>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</si>
  <si>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</si>
  <si>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</si>
  <si>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</si>
  <si>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</si>
  <si>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</si>
  <si>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</si>
  <si>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</si>
  <si>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</si>
  <si>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</si>
  <si>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</si>
  <si>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</si>
  <si>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</si>
  <si>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</si>
  <si>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</si>
  <si>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</si>
  <si>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</si>
  <si>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</si>
  <si>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</si>
  <si>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</si>
  <si>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</si>
  <si>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</si>
  <si>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</si>
  <si>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</si>
  <si>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</si>
  <si>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</si>
  <si>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</si>
  <si>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</si>
  <si>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</si>
  <si>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</si>
  <si>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</si>
  <si>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</si>
  <si>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</si>
  <si>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</si>
  <si>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</si>
  <si>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</si>
  <si>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</si>
  <si>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</si>
  <si>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</si>
  <si>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</si>
  <si>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Osnova_I-Shop_Час Газу_0-3-12</t>
  </si>
  <si>
    <t>Osnova_I-Shop_Час Газу_0-6-12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</si>
</sst>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3</xdr:col>
      <xdr:colOff>962025</xdr:colOff>
      <xdr:row>3</xdr:row>
      <xdr:rowOff>95249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1" y="0"/>
          <a:ext cx="2257424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213" t="s">
        <v>48</v>
      </c>
      <c r="I1" s="213"/>
    </row>
    <row r="2" spans="1:45" ht="12.75" customHeight="1" x14ac:dyDescent="0.2">
      <c r="A2" s="2"/>
      <c r="B2" s="88"/>
      <c r="C2" s="88"/>
      <c r="D2" s="88"/>
      <c r="E2" s="109">
        <f>VLOOKUP('I-Shop_Час_Газу'!H2,Лист2!A:P,16,FALSE)</f>
        <v>1000</v>
      </c>
      <c r="F2" s="132">
        <f>VLOOKUP(H$2,Лист2!$A:$H,8,0)</f>
        <v>50000</v>
      </c>
      <c r="G2" s="177">
        <f ca="1">TODAY()</f>
        <v>45859</v>
      </c>
      <c r="H2" s="219" t="s">
        <v>160</v>
      </c>
      <c r="I2" s="220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1500</v>
      </c>
      <c r="F3" s="221" t="str">
        <f>IF(E3="x","Збільшіть суму",IF(E3="y","Зменшіть суму",""))</f>
        <v/>
      </c>
      <c r="G3" s="133">
        <f>Назви!B32</f>
        <v>30.4</v>
      </c>
      <c r="H3" s="223">
        <f>VLOOKUP(H$2,Лист2!$A:$H,8,0)</f>
        <v>50000</v>
      </c>
      <c r="I3" s="224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222"/>
      <c r="G4" s="112"/>
      <c r="H4" s="162"/>
      <c r="I4" s="120"/>
      <c r="J4" s="35"/>
      <c r="AA4" s="51"/>
    </row>
    <row r="5" spans="1:45" ht="21" thickBot="1" x14ac:dyDescent="0.25">
      <c r="A5" s="1"/>
      <c r="B5" s="225" t="s">
        <v>42</v>
      </c>
      <c r="C5" s="226"/>
      <c r="D5" s="226"/>
      <c r="E5" s="227"/>
      <c r="F5" s="161">
        <v>1000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216" t="s">
        <v>43</v>
      </c>
      <c r="C7" s="217"/>
      <c r="D7" s="217"/>
      <c r="E7" s="218"/>
      <c r="F7" s="163">
        <f>F5+F5*F11+F15+F5*F17</f>
        <v>1500</v>
      </c>
      <c r="G7" s="164"/>
      <c r="H7" s="165"/>
      <c r="I7" s="42"/>
      <c r="J7" s="4"/>
      <c r="K7" s="37"/>
      <c r="L7" s="51" t="str">
        <f>Лист2!A4</f>
        <v>Osnova_I-Shop_Час Газу_0-3-12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12" customHeight="1" x14ac:dyDescent="0.2">
      <c r="A8" s="214"/>
      <c r="B8" s="214"/>
      <c r="C8" s="214"/>
      <c r="D8" s="214"/>
      <c r="E8" s="214"/>
      <c r="F8" s="188"/>
      <c r="G8" s="214"/>
      <c r="H8" s="214"/>
      <c r="I8" s="214"/>
      <c r="J8" s="4"/>
      <c r="K8" s="37"/>
      <c r="L8" s="51" t="str">
        <f>Лист2!A5</f>
        <v>Osnova_I-Shop_Час Газу_0-6-12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28" t="str">
        <f>Назви!A3</f>
        <v>Процентна ставка, % річних</v>
      </c>
      <c r="C9" s="229">
        <f>Назви!B3</f>
        <v>0</v>
      </c>
      <c r="D9" s="229">
        <f>Назви!C3</f>
        <v>0</v>
      </c>
      <c r="E9" s="229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187" t="str">
        <f>Назви!A5</f>
        <v>Разовий страховий тариф, %</v>
      </c>
      <c r="C11" s="196">
        <f>Назви!B5</f>
        <v>0</v>
      </c>
      <c r="D11" s="196">
        <f>Назви!C5</f>
        <v>0</v>
      </c>
      <c r="E11" s="196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186" t="s">
        <v>41</v>
      </c>
      <c r="C13" s="186"/>
      <c r="D13" s="186"/>
      <c r="E13" s="187"/>
      <c r="F13" s="140">
        <f>VLOOKUP(H$2,Лист2!$A:$J,9,0)</f>
        <v>3</v>
      </c>
      <c r="G13" s="175"/>
      <c r="H13" s="173"/>
      <c r="I13" s="120"/>
      <c r="J13" s="4"/>
      <c r="K13" s="37"/>
      <c r="L13" s="51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215"/>
      <c r="B14" s="215"/>
      <c r="C14" s="215"/>
      <c r="D14" s="215"/>
      <c r="E14" s="215"/>
      <c r="F14" s="215"/>
      <c r="G14" s="215"/>
      <c r="H14" s="215"/>
      <c r="I14" s="215"/>
      <c r="J14" s="51"/>
      <c r="K14" s="37"/>
      <c r="L14" s="51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186" t="s">
        <v>39</v>
      </c>
      <c r="C15" s="186"/>
      <c r="D15" s="186"/>
      <c r="E15" s="187"/>
      <c r="F15" s="156">
        <f>VLOOKUP(H$2,Лист2!$A:$J,10,0)</f>
        <v>500</v>
      </c>
      <c r="G15" s="175"/>
      <c r="H15" s="173"/>
      <c r="I15" s="120"/>
      <c r="J15" s="51"/>
      <c r="K15" s="37"/>
      <c r="L15" s="51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186" t="s">
        <v>40</v>
      </c>
      <c r="C17" s="186"/>
      <c r="D17" s="186"/>
      <c r="E17" s="186"/>
      <c r="F17" s="134">
        <f>VLOOKUP(H$2,Лист2!$A:$K,11,0)</f>
        <v>0</v>
      </c>
      <c r="G17" s="138"/>
      <c r="H17" s="139"/>
      <c r="I17" s="42"/>
      <c r="J17" s="51"/>
      <c r="K17" s="37"/>
      <c r="L17" s="51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187" t="str">
        <f>Назви!A7</f>
        <v xml:space="preserve">Щомісячна плата за обслуговування кредитної заборгованості, % </v>
      </c>
      <c r="C19" s="196">
        <f>Назви!B7</f>
        <v>0</v>
      </c>
      <c r="D19" s="196">
        <f>Назви!C7</f>
        <v>0</v>
      </c>
      <c r="E19" s="197">
        <f>Назви!D7</f>
        <v>0</v>
      </c>
      <c r="F19" s="134">
        <f>VLOOKUP(H$2,Лист2!$A:$G,6,0)</f>
        <v>3.5000000000000003E-2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187" t="str">
        <f>Назви!A9</f>
        <v>Термін кредитування (міс.)</v>
      </c>
      <c r="C21" s="196">
        <f>Назви!B9</f>
        <v>0</v>
      </c>
      <c r="D21" s="196">
        <f>Назви!C9</f>
        <v>0</v>
      </c>
      <c r="E21" s="197">
        <f>Назви!D9</f>
        <v>0</v>
      </c>
      <c r="F21" s="141">
        <f>VLOOKUP(H$2,Лист2!$A:$G,3,0)</f>
        <v>12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1500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191" t="str">
        <f>Назви!A14</f>
        <v>Орієнтовні загальні витрати за кредитом, грн.</v>
      </c>
      <c r="C24" s="192"/>
      <c r="D24" s="192"/>
      <c r="E24" s="192"/>
      <c r="F24" s="160">
        <f>G100-F5</f>
        <v>972.65000000000032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191" t="str">
        <f>Назви!A16</f>
        <v>Орієнтовна загальна вартість кредиту, грн.</v>
      </c>
      <c r="C26" s="192">
        <f>Назви!B14</f>
        <v>0</v>
      </c>
      <c r="D26" s="192">
        <f>Назви!C14</f>
        <v>0</v>
      </c>
      <c r="E26" s="193">
        <f>Назви!D14</f>
        <v>0</v>
      </c>
      <c r="F26" s="144">
        <f>F5+F24</f>
        <v>1972.6500000000003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191" t="str">
        <f>Назви!A18</f>
        <v>Реальна річна процентна ставка, %</v>
      </c>
      <c r="C28" s="192">
        <f>Назви!B16</f>
        <v>0</v>
      </c>
      <c r="D28" s="192">
        <f>Назви!C16</f>
        <v>0</v>
      </c>
      <c r="E28" s="193">
        <f>Назви!D16</f>
        <v>0</v>
      </c>
      <c r="F28" s="147">
        <f ca="1">XIRR(G39:G87,C39:C87)</f>
        <v>2.6569321393966678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194" t="str">
        <f>Назви!A19</f>
        <v>Інший термін</v>
      </c>
      <c r="C30" s="195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189" t="s">
        <v>32</v>
      </c>
      <c r="C31" s="190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189" t="s">
        <v>33</v>
      </c>
      <c r="C32" s="190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189" t="s">
        <v>9</v>
      </c>
      <c r="C33" s="190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189"/>
      <c r="C34" s="190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199" t="str">
        <f>Назви!A26</f>
        <v xml:space="preserve">ГРАФІК СПЛАТИ КРЕДИТУ </v>
      </c>
      <c r="C37" s="200"/>
      <c r="D37" s="200"/>
      <c r="E37" s="200"/>
      <c r="F37" s="200"/>
      <c r="G37" s="200"/>
      <c r="H37" s="20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02" t="str">
        <f>Назви!A27</f>
        <v>Місяць</v>
      </c>
      <c r="C38" s="20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2" t="str">
        <f>Назви!F27</f>
        <v>Загальна сума внесків до повернення в місяць, грн.</v>
      </c>
      <c r="H38" s="20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45859</v>
      </c>
      <c r="D39" s="91"/>
      <c r="E39" s="92"/>
      <c r="F39" s="91"/>
      <c r="G39" s="158">
        <f>-F5</f>
        <v>-1000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45890</v>
      </c>
      <c r="D40" s="19">
        <f>IF(B40&lt;=$F$21,$F$7/$F$21,0)</f>
        <v>125</v>
      </c>
      <c r="E40" s="20">
        <f>IF(AND(B40&gt;F$13,B40&lt;=$F$21),F$7*F$19,0)</f>
        <v>0</v>
      </c>
      <c r="F40" s="182">
        <f>IF(B40&lt;=$F$21,F$7*F$9/12,0)</f>
        <v>1.2499999999999999E-2</v>
      </c>
      <c r="G40" s="198">
        <f t="shared" ref="G40:G71" si="0">IF(B$40&lt;=F$21,D40+E40+F40,0)</f>
        <v>125.0125</v>
      </c>
      <c r="H40" s="19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45921</v>
      </c>
      <c r="D41" s="19">
        <f t="shared" ref="D41:D87" si="2">IF(B41&lt;=$F$21,$F$7/$F$21,0)</f>
        <v>125</v>
      </c>
      <c r="E41" s="20">
        <f t="shared" ref="E41:E99" si="3">IF(AND(B41&gt;F$13,B41&lt;=$F$21),F$7*F$19,0)</f>
        <v>0</v>
      </c>
      <c r="F41" s="182">
        <f t="shared" ref="F41:F99" si="4">IF(B41&lt;=$F$21,F$7*F$9/12,0)</f>
        <v>1.2499999999999999E-2</v>
      </c>
      <c r="G41" s="198">
        <f t="shared" si="0"/>
        <v>125.0125</v>
      </c>
      <c r="H41" s="19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45951</v>
      </c>
      <c r="D42" s="19">
        <f t="shared" si="2"/>
        <v>125</v>
      </c>
      <c r="E42" s="20">
        <f t="shared" si="3"/>
        <v>0</v>
      </c>
      <c r="F42" s="182">
        <f t="shared" si="4"/>
        <v>1.2499999999999999E-2</v>
      </c>
      <c r="G42" s="198">
        <f t="shared" si="0"/>
        <v>125.0125</v>
      </c>
      <c r="H42" s="19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45982</v>
      </c>
      <c r="D43" s="19">
        <f t="shared" si="2"/>
        <v>125</v>
      </c>
      <c r="E43" s="20">
        <f t="shared" si="3"/>
        <v>52.500000000000007</v>
      </c>
      <c r="F43" s="182">
        <f t="shared" si="4"/>
        <v>1.2499999999999999E-2</v>
      </c>
      <c r="G43" s="198">
        <f t="shared" si="0"/>
        <v>177.51249999999999</v>
      </c>
      <c r="H43" s="19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46012</v>
      </c>
      <c r="D44" s="19">
        <f t="shared" si="2"/>
        <v>125</v>
      </c>
      <c r="E44" s="20">
        <f t="shared" si="3"/>
        <v>52.500000000000007</v>
      </c>
      <c r="F44" s="182">
        <f t="shared" si="4"/>
        <v>1.2499999999999999E-2</v>
      </c>
      <c r="G44" s="198">
        <f t="shared" si="0"/>
        <v>177.51249999999999</v>
      </c>
      <c r="H44" s="19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46043</v>
      </c>
      <c r="D45" s="19">
        <f t="shared" si="2"/>
        <v>125</v>
      </c>
      <c r="E45" s="20">
        <f t="shared" si="3"/>
        <v>52.500000000000007</v>
      </c>
      <c r="F45" s="182">
        <f t="shared" si="4"/>
        <v>1.2499999999999999E-2</v>
      </c>
      <c r="G45" s="198">
        <f t="shared" si="0"/>
        <v>177.51249999999999</v>
      </c>
      <c r="H45" s="19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46074</v>
      </c>
      <c r="D46" s="19">
        <f t="shared" si="2"/>
        <v>125</v>
      </c>
      <c r="E46" s="20">
        <f t="shared" si="3"/>
        <v>52.500000000000007</v>
      </c>
      <c r="F46" s="182">
        <f t="shared" si="4"/>
        <v>1.2499999999999999E-2</v>
      </c>
      <c r="G46" s="198">
        <f t="shared" si="0"/>
        <v>177.51249999999999</v>
      </c>
      <c r="H46" s="19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46102</v>
      </c>
      <c r="D47" s="19">
        <f t="shared" si="2"/>
        <v>125</v>
      </c>
      <c r="E47" s="20">
        <f t="shared" si="3"/>
        <v>52.500000000000007</v>
      </c>
      <c r="F47" s="182">
        <f t="shared" si="4"/>
        <v>1.2499999999999999E-2</v>
      </c>
      <c r="G47" s="198">
        <f t="shared" si="0"/>
        <v>177.51249999999999</v>
      </c>
      <c r="H47" s="19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46133</v>
      </c>
      <c r="D48" s="19">
        <f t="shared" si="2"/>
        <v>125</v>
      </c>
      <c r="E48" s="20">
        <f t="shared" si="3"/>
        <v>52.500000000000007</v>
      </c>
      <c r="F48" s="182">
        <f t="shared" si="4"/>
        <v>1.2499999999999999E-2</v>
      </c>
      <c r="G48" s="198">
        <f t="shared" si="0"/>
        <v>177.51249999999999</v>
      </c>
      <c r="H48" s="19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46163</v>
      </c>
      <c r="D49" s="19">
        <f t="shared" si="2"/>
        <v>125</v>
      </c>
      <c r="E49" s="20">
        <f t="shared" si="3"/>
        <v>52.500000000000007</v>
      </c>
      <c r="F49" s="182">
        <f t="shared" si="4"/>
        <v>1.2499999999999999E-2</v>
      </c>
      <c r="G49" s="198">
        <f t="shared" si="0"/>
        <v>177.51249999999999</v>
      </c>
      <c r="H49" s="19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46194</v>
      </c>
      <c r="D50" s="19">
        <f t="shared" si="2"/>
        <v>125</v>
      </c>
      <c r="E50" s="20">
        <f t="shared" si="3"/>
        <v>52.500000000000007</v>
      </c>
      <c r="F50" s="182">
        <f t="shared" si="4"/>
        <v>1.2499999999999999E-2</v>
      </c>
      <c r="G50" s="198">
        <f t="shared" si="0"/>
        <v>177.51249999999999</v>
      </c>
      <c r="H50" s="19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46224</v>
      </c>
      <c r="D51" s="19">
        <f t="shared" si="2"/>
        <v>125</v>
      </c>
      <c r="E51" s="20">
        <f t="shared" si="3"/>
        <v>52.500000000000007</v>
      </c>
      <c r="F51" s="182">
        <f t="shared" si="4"/>
        <v>1.2499999999999999E-2</v>
      </c>
      <c r="G51" s="198">
        <f t="shared" si="0"/>
        <v>177.51249999999999</v>
      </c>
      <c r="H51" s="19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46255</v>
      </c>
      <c r="D52" s="19">
        <f t="shared" si="2"/>
        <v>0</v>
      </c>
      <c r="E52" s="20">
        <f t="shared" si="3"/>
        <v>0</v>
      </c>
      <c r="F52" s="182">
        <f t="shared" si="4"/>
        <v>0</v>
      </c>
      <c r="G52" s="198">
        <f t="shared" si="0"/>
        <v>0</v>
      </c>
      <c r="H52" s="19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46286</v>
      </c>
      <c r="D53" s="19">
        <f t="shared" si="2"/>
        <v>0</v>
      </c>
      <c r="E53" s="20">
        <f t="shared" si="3"/>
        <v>0</v>
      </c>
      <c r="F53" s="182">
        <f t="shared" si="4"/>
        <v>0</v>
      </c>
      <c r="G53" s="198">
        <f t="shared" si="0"/>
        <v>0</v>
      </c>
      <c r="H53" s="19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46316</v>
      </c>
      <c r="D54" s="19">
        <f t="shared" si="2"/>
        <v>0</v>
      </c>
      <c r="E54" s="20">
        <f t="shared" si="3"/>
        <v>0</v>
      </c>
      <c r="F54" s="182">
        <f t="shared" si="4"/>
        <v>0</v>
      </c>
      <c r="G54" s="198">
        <f t="shared" si="0"/>
        <v>0</v>
      </c>
      <c r="H54" s="19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46347</v>
      </c>
      <c r="D55" s="19">
        <f t="shared" si="2"/>
        <v>0</v>
      </c>
      <c r="E55" s="20">
        <f t="shared" si="3"/>
        <v>0</v>
      </c>
      <c r="F55" s="182">
        <f t="shared" si="4"/>
        <v>0</v>
      </c>
      <c r="G55" s="198">
        <f t="shared" si="0"/>
        <v>0</v>
      </c>
      <c r="H55" s="19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46377</v>
      </c>
      <c r="D56" s="19">
        <f t="shared" si="2"/>
        <v>0</v>
      </c>
      <c r="E56" s="20">
        <f t="shared" si="3"/>
        <v>0</v>
      </c>
      <c r="F56" s="182">
        <f t="shared" si="4"/>
        <v>0</v>
      </c>
      <c r="G56" s="198">
        <f t="shared" si="0"/>
        <v>0</v>
      </c>
      <c r="H56" s="19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46408</v>
      </c>
      <c r="D57" s="19">
        <f t="shared" si="2"/>
        <v>0</v>
      </c>
      <c r="E57" s="20">
        <f t="shared" si="3"/>
        <v>0</v>
      </c>
      <c r="F57" s="182">
        <f t="shared" si="4"/>
        <v>0</v>
      </c>
      <c r="G57" s="198">
        <f t="shared" si="0"/>
        <v>0</v>
      </c>
      <c r="H57" s="19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46439</v>
      </c>
      <c r="D58" s="19">
        <f t="shared" si="2"/>
        <v>0</v>
      </c>
      <c r="E58" s="20">
        <f t="shared" si="3"/>
        <v>0</v>
      </c>
      <c r="F58" s="182">
        <f t="shared" si="4"/>
        <v>0</v>
      </c>
      <c r="G58" s="198">
        <f t="shared" si="0"/>
        <v>0</v>
      </c>
      <c r="H58" s="19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46467</v>
      </c>
      <c r="D59" s="19">
        <f t="shared" si="2"/>
        <v>0</v>
      </c>
      <c r="E59" s="20">
        <f t="shared" si="3"/>
        <v>0</v>
      </c>
      <c r="F59" s="182">
        <f t="shared" si="4"/>
        <v>0</v>
      </c>
      <c r="G59" s="198">
        <f t="shared" si="0"/>
        <v>0</v>
      </c>
      <c r="H59" s="19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46498</v>
      </c>
      <c r="D60" s="19">
        <f t="shared" si="2"/>
        <v>0</v>
      </c>
      <c r="E60" s="20">
        <f t="shared" si="3"/>
        <v>0</v>
      </c>
      <c r="F60" s="182">
        <f t="shared" si="4"/>
        <v>0</v>
      </c>
      <c r="G60" s="198">
        <f t="shared" si="0"/>
        <v>0</v>
      </c>
      <c r="H60" s="19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46528</v>
      </c>
      <c r="D61" s="19">
        <f t="shared" si="2"/>
        <v>0</v>
      </c>
      <c r="E61" s="20">
        <f t="shared" si="3"/>
        <v>0</v>
      </c>
      <c r="F61" s="182">
        <f t="shared" si="4"/>
        <v>0</v>
      </c>
      <c r="G61" s="198">
        <f t="shared" si="0"/>
        <v>0</v>
      </c>
      <c r="H61" s="19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46559</v>
      </c>
      <c r="D62" s="19">
        <f t="shared" si="2"/>
        <v>0</v>
      </c>
      <c r="E62" s="20">
        <f t="shared" si="3"/>
        <v>0</v>
      </c>
      <c r="F62" s="182">
        <f t="shared" si="4"/>
        <v>0</v>
      </c>
      <c r="G62" s="198">
        <f t="shared" si="0"/>
        <v>0</v>
      </c>
      <c r="H62" s="19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46589</v>
      </c>
      <c r="D63" s="19">
        <f t="shared" si="2"/>
        <v>0</v>
      </c>
      <c r="E63" s="20">
        <f t="shared" si="3"/>
        <v>0</v>
      </c>
      <c r="F63" s="182">
        <f t="shared" si="4"/>
        <v>0</v>
      </c>
      <c r="G63" s="198">
        <f t="shared" si="0"/>
        <v>0</v>
      </c>
      <c r="H63" s="19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46620</v>
      </c>
      <c r="D64" s="19">
        <f t="shared" si="2"/>
        <v>0</v>
      </c>
      <c r="E64" s="20">
        <f t="shared" si="3"/>
        <v>0</v>
      </c>
      <c r="F64" s="182">
        <f t="shared" si="4"/>
        <v>0</v>
      </c>
      <c r="G64" s="198">
        <f t="shared" si="0"/>
        <v>0</v>
      </c>
      <c r="H64" s="19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46651</v>
      </c>
      <c r="D65" s="19">
        <f t="shared" si="2"/>
        <v>0</v>
      </c>
      <c r="E65" s="20">
        <f t="shared" si="3"/>
        <v>0</v>
      </c>
      <c r="F65" s="182">
        <f t="shared" si="4"/>
        <v>0</v>
      </c>
      <c r="G65" s="198">
        <f t="shared" si="0"/>
        <v>0</v>
      </c>
      <c r="H65" s="19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46681</v>
      </c>
      <c r="D66" s="19">
        <f t="shared" si="2"/>
        <v>0</v>
      </c>
      <c r="E66" s="20">
        <f t="shared" si="3"/>
        <v>0</v>
      </c>
      <c r="F66" s="182">
        <f t="shared" si="4"/>
        <v>0</v>
      </c>
      <c r="G66" s="198">
        <f t="shared" si="0"/>
        <v>0</v>
      </c>
      <c r="H66" s="19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46712</v>
      </c>
      <c r="D67" s="19">
        <f t="shared" si="2"/>
        <v>0</v>
      </c>
      <c r="E67" s="20">
        <f t="shared" si="3"/>
        <v>0</v>
      </c>
      <c r="F67" s="182">
        <f t="shared" si="4"/>
        <v>0</v>
      </c>
      <c r="G67" s="198">
        <f t="shared" si="0"/>
        <v>0</v>
      </c>
      <c r="H67" s="19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46742</v>
      </c>
      <c r="D68" s="19">
        <f t="shared" si="2"/>
        <v>0</v>
      </c>
      <c r="E68" s="20">
        <f t="shared" si="3"/>
        <v>0</v>
      </c>
      <c r="F68" s="182">
        <f t="shared" si="4"/>
        <v>0</v>
      </c>
      <c r="G68" s="198">
        <f t="shared" si="0"/>
        <v>0</v>
      </c>
      <c r="H68" s="19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46773</v>
      </c>
      <c r="D69" s="19">
        <f t="shared" si="2"/>
        <v>0</v>
      </c>
      <c r="E69" s="20">
        <f t="shared" si="3"/>
        <v>0</v>
      </c>
      <c r="F69" s="182">
        <f t="shared" si="4"/>
        <v>0</v>
      </c>
      <c r="G69" s="198">
        <f t="shared" si="0"/>
        <v>0</v>
      </c>
      <c r="H69" s="19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46804</v>
      </c>
      <c r="D70" s="19">
        <f t="shared" si="2"/>
        <v>0</v>
      </c>
      <c r="E70" s="20">
        <f t="shared" si="3"/>
        <v>0</v>
      </c>
      <c r="F70" s="182">
        <f t="shared" si="4"/>
        <v>0</v>
      </c>
      <c r="G70" s="198">
        <f t="shared" si="0"/>
        <v>0</v>
      </c>
      <c r="H70" s="19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46833</v>
      </c>
      <c r="D71" s="19">
        <f t="shared" si="2"/>
        <v>0</v>
      </c>
      <c r="E71" s="20">
        <f t="shared" si="3"/>
        <v>0</v>
      </c>
      <c r="F71" s="182">
        <f t="shared" si="4"/>
        <v>0</v>
      </c>
      <c r="G71" s="198">
        <f t="shared" si="0"/>
        <v>0</v>
      </c>
      <c r="H71" s="19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46864</v>
      </c>
      <c r="D72" s="19">
        <f t="shared" si="2"/>
        <v>0</v>
      </c>
      <c r="E72" s="20">
        <f t="shared" si="3"/>
        <v>0</v>
      </c>
      <c r="F72" s="182">
        <f t="shared" si="4"/>
        <v>0</v>
      </c>
      <c r="G72" s="198">
        <f t="shared" ref="G72:G99" si="5">IF(B$40&lt;=F$21,D72+E72+F72,0)</f>
        <v>0</v>
      </c>
      <c r="H72" s="19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46894</v>
      </c>
      <c r="D73" s="19">
        <f t="shared" si="2"/>
        <v>0</v>
      </c>
      <c r="E73" s="20">
        <f t="shared" si="3"/>
        <v>0</v>
      </c>
      <c r="F73" s="182">
        <f t="shared" si="4"/>
        <v>0</v>
      </c>
      <c r="G73" s="198">
        <f t="shared" si="5"/>
        <v>0</v>
      </c>
      <c r="H73" s="19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46925</v>
      </c>
      <c r="D74" s="19">
        <f t="shared" si="2"/>
        <v>0</v>
      </c>
      <c r="E74" s="20">
        <f t="shared" si="3"/>
        <v>0</v>
      </c>
      <c r="F74" s="182">
        <f t="shared" si="4"/>
        <v>0</v>
      </c>
      <c r="G74" s="198">
        <f t="shared" si="5"/>
        <v>0</v>
      </c>
      <c r="H74" s="19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46955</v>
      </c>
      <c r="D75" s="19">
        <f t="shared" si="2"/>
        <v>0</v>
      </c>
      <c r="E75" s="20">
        <f t="shared" si="3"/>
        <v>0</v>
      </c>
      <c r="F75" s="182">
        <f t="shared" si="4"/>
        <v>0</v>
      </c>
      <c r="G75" s="198">
        <f t="shared" si="5"/>
        <v>0</v>
      </c>
      <c r="H75" s="19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46986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198">
        <f t="shared" si="5"/>
        <v>0</v>
      </c>
      <c r="H76" s="19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47017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198">
        <f t="shared" si="5"/>
        <v>0</v>
      </c>
      <c r="H77" s="19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47047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198">
        <f t="shared" si="5"/>
        <v>0</v>
      </c>
      <c r="H78" s="19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47078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198">
        <f t="shared" si="5"/>
        <v>0</v>
      </c>
      <c r="H79" s="19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47108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198">
        <f t="shared" si="5"/>
        <v>0</v>
      </c>
      <c r="H80" s="19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47139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198">
        <f t="shared" si="5"/>
        <v>0</v>
      </c>
      <c r="H81" s="19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47170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198">
        <f t="shared" si="5"/>
        <v>0</v>
      </c>
      <c r="H82" s="19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47198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198">
        <f t="shared" si="5"/>
        <v>0</v>
      </c>
      <c r="H83" s="19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47229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198">
        <f t="shared" si="5"/>
        <v>0</v>
      </c>
      <c r="H84" s="19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47259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198">
        <f t="shared" si="5"/>
        <v>0</v>
      </c>
      <c r="H85" s="19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47290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198">
        <f t="shared" si="5"/>
        <v>0</v>
      </c>
      <c r="H86" s="19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47320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198">
        <f t="shared" si="5"/>
        <v>0</v>
      </c>
      <c r="H87" s="19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47351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06">
        <f t="shared" si="5"/>
        <v>0</v>
      </c>
      <c r="H88" s="20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47382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08">
        <f t="shared" si="5"/>
        <v>0</v>
      </c>
      <c r="H89" s="209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47412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08">
        <f t="shared" si="5"/>
        <v>0</v>
      </c>
      <c r="H90" s="209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47443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08">
        <f t="shared" si="5"/>
        <v>0</v>
      </c>
      <c r="H91" s="209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47473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08">
        <f t="shared" si="5"/>
        <v>0</v>
      </c>
      <c r="H92" s="209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47504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08">
        <f t="shared" si="5"/>
        <v>0</v>
      </c>
      <c r="H93" s="209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47535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08">
        <f t="shared" si="5"/>
        <v>0</v>
      </c>
      <c r="H94" s="209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47563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08">
        <f t="shared" si="5"/>
        <v>0</v>
      </c>
      <c r="H95" s="209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47594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08">
        <f t="shared" si="5"/>
        <v>0</v>
      </c>
      <c r="H96" s="209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47624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08">
        <f t="shared" si="5"/>
        <v>0</v>
      </c>
      <c r="H97" s="209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47655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08">
        <f t="shared" si="5"/>
        <v>0</v>
      </c>
      <c r="H98" s="209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47685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08">
        <f t="shared" si="5"/>
        <v>0</v>
      </c>
      <c r="H99" s="209"/>
      <c r="I99" s="104"/>
      <c r="J99" s="104"/>
    </row>
    <row r="100" spans="1:19" s="4" customFormat="1" ht="16.5" thickBot="1" x14ac:dyDescent="0.25">
      <c r="A100" s="43"/>
      <c r="B100" s="204" t="s">
        <v>1</v>
      </c>
      <c r="C100" s="205"/>
      <c r="D100" s="93">
        <f>SUM(D40:D99)</f>
        <v>1500</v>
      </c>
      <c r="E100" s="93">
        <f>SUM(E40:E99)</f>
        <v>472.50000000000006</v>
      </c>
      <c r="F100" s="99">
        <f>SUM(F40:F99)</f>
        <v>0.15</v>
      </c>
      <c r="G100" s="211">
        <f>SUM(G40:H99)</f>
        <v>1972.6500000000003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10" t="s">
        <v>6</v>
      </c>
      <c r="F102" s="210"/>
      <c r="G102" s="210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bfZExsgebW8Pw0OMfr2OUyA4eFxGlRXlYMI7X3mmcuFgcCN5HVS2jDW9zDmvWUzyS+rH7UgsB2akNkpZkbQjEw==" saltValue="txf5BW118+++7PHj4hA86Q==" spinCount="100000" sheet="1"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$L$7:$L$8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46" t="s">
        <v>16</v>
      </c>
      <c r="B1" s="247"/>
      <c r="C1" s="247"/>
      <c r="D1" s="24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41" t="s">
        <v>44</v>
      </c>
      <c r="B3" s="242">
        <v>0</v>
      </c>
      <c r="C3" s="242">
        <v>0</v>
      </c>
      <c r="D3" s="24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41" t="s">
        <v>45</v>
      </c>
      <c r="B5" s="242">
        <v>0</v>
      </c>
      <c r="C5" s="242">
        <v>0</v>
      </c>
      <c r="D5" s="24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41" t="s">
        <v>46</v>
      </c>
      <c r="B7" s="242">
        <v>0</v>
      </c>
      <c r="C7" s="242">
        <v>0</v>
      </c>
      <c r="D7" s="24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41" t="s">
        <v>158</v>
      </c>
      <c r="B9" s="242"/>
      <c r="C9" s="242"/>
      <c r="D9" s="24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41" t="s">
        <v>157</v>
      </c>
      <c r="B12" s="242">
        <v>0</v>
      </c>
      <c r="C12" s="242">
        <v>0</v>
      </c>
      <c r="D12" s="24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41" t="s">
        <v>47</v>
      </c>
      <c r="B14" s="242">
        <v>0</v>
      </c>
      <c r="C14" s="242">
        <v>0</v>
      </c>
      <c r="D14" s="24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41" t="s">
        <v>156</v>
      </c>
      <c r="B16" s="242">
        <v>0</v>
      </c>
      <c r="C16" s="242">
        <v>0</v>
      </c>
      <c r="D16" s="24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44" t="s">
        <v>8</v>
      </c>
      <c r="B19" s="24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9" t="s">
        <v>20</v>
      </c>
      <c r="B20" s="250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9" t="s">
        <v>9</v>
      </c>
      <c r="B21" s="250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9" t="s">
        <v>18</v>
      </c>
      <c r="B22" s="250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9" t="s">
        <v>19</v>
      </c>
      <c r="B23" s="250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52" t="s">
        <v>30</v>
      </c>
      <c r="B26" s="253"/>
      <c r="C26" s="253"/>
      <c r="D26" s="253"/>
      <c r="E26" s="253"/>
      <c r="F26" s="253"/>
      <c r="G26" s="254"/>
    </row>
    <row r="27" spans="1:8" ht="45.75" thickBot="1" x14ac:dyDescent="0.25">
      <c r="A27" s="255" t="s">
        <v>2</v>
      </c>
      <c r="B27" s="256"/>
      <c r="C27" s="83" t="s">
        <v>4</v>
      </c>
      <c r="D27" s="83" t="s">
        <v>17</v>
      </c>
      <c r="E27" s="83" t="s">
        <v>5</v>
      </c>
      <c r="F27" s="257" t="s">
        <v>3</v>
      </c>
      <c r="G27" s="258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51"/>
      <c r="E29" s="251"/>
      <c r="F29" s="251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zoomScale="85" zoomScaleNormal="85" workbookViewId="0">
      <selection activeCell="B4" sqref="B4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49500</v>
      </c>
      <c r="C4" s="151">
        <v>12</v>
      </c>
      <c r="D4" s="152">
        <v>1E-4</v>
      </c>
      <c r="E4" s="152">
        <v>0</v>
      </c>
      <c r="F4" s="152">
        <v>3.5000000000000003E-2</v>
      </c>
      <c r="G4" s="151" t="str">
        <f>I$2&amp;" "&amp;B4&amp;" "&amp;H$2</f>
        <v>max. 49500 грн.</v>
      </c>
      <c r="H4" s="185">
        <f>B4+J4</f>
        <v>50000</v>
      </c>
      <c r="I4" s="151">
        <v>3</v>
      </c>
      <c r="J4" s="151">
        <v>500</v>
      </c>
      <c r="K4" s="184">
        <v>0</v>
      </c>
      <c r="L4" s="153">
        <f t="shared" ref="L4" si="0">D4/12/(1-1/POWER(1+D4/12,C4))*H4+H4*F4</f>
        <v>5916.8923645380482</v>
      </c>
      <c r="M4" s="154">
        <f>F4</f>
        <v>3.5000000000000003E-2</v>
      </c>
      <c r="N4" s="154"/>
      <c r="O4" s="155">
        <v>0</v>
      </c>
      <c r="P4" s="151">
        <v>1000</v>
      </c>
    </row>
    <row r="5" spans="1:16" s="151" customFormat="1" x14ac:dyDescent="0.2">
      <c r="A5" s="151" t="s">
        <v>161</v>
      </c>
      <c r="B5" s="121">
        <v>49000</v>
      </c>
      <c r="C5" s="151">
        <v>12</v>
      </c>
      <c r="D5" s="152">
        <v>1E-4</v>
      </c>
      <c r="E5" s="152">
        <v>0</v>
      </c>
      <c r="F5" s="152">
        <v>3.5000000000000003E-2</v>
      </c>
      <c r="G5" s="151" t="str">
        <f>I$2&amp;" "&amp;B5&amp;" "&amp;H$2</f>
        <v>max. 49000 грн.</v>
      </c>
      <c r="H5" s="185">
        <f>B5+J5</f>
        <v>50000</v>
      </c>
      <c r="I5" s="151">
        <v>6</v>
      </c>
      <c r="J5" s="151">
        <v>1000</v>
      </c>
      <c r="K5" s="184">
        <v>0</v>
      </c>
      <c r="L5" s="153">
        <f t="shared" ref="L5" si="1">D5/12/(1-1/POWER(1+D5/12,C5))*H5+H5*F5</f>
        <v>5916.8923645380482</v>
      </c>
      <c r="M5" s="154">
        <f>F5</f>
        <v>3.5000000000000003E-2</v>
      </c>
      <c r="N5" s="154"/>
      <c r="O5" s="155">
        <v>0</v>
      </c>
      <c r="P5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I-Shop_Час_Газу</vt:lpstr>
      <vt:lpstr>Перелік партнерів</vt:lpstr>
      <vt:lpstr>Назви</vt:lpstr>
      <vt:lpstr>Лист2</vt:lpstr>
      <vt:lpstr>'I-Shop_Час_Газу'!Область_друку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2025-07-21T12:09:17Z</dcterms:modified>
</cp:coreProperties>
</file>